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diaz\AppData\Local\Temp\oa\"/>
    </mc:Choice>
  </mc:AlternateContent>
  <workbookProtection workbookAlgorithmName="SHA-512" workbookHashValue="GxOVlq+b9s+7ss/NpNpC0bgybNjgr+pS2tYhWZqzDjbWad0M2DdLqlqGzkOLFxDZeOeCU2NHP8muhyYYUPDjeA==" workbookSaltValue="Kzk9ArnyP/kw91bH5taE/A==" workbookSpinCount="100000" lockStructure="1"/>
  <bookViews>
    <workbookView xWindow="0" yWindow="0" windowWidth="16815" windowHeight="6930" tabRatio="793" firstSheet="1" activeTab="1"/>
  </bookViews>
  <sheets>
    <sheet name="DATOS" sheetId="22" state="hidden" r:id="rId1"/>
    <sheet name="RT03-F11" sheetId="12" r:id="rId2"/>
    <sheet name="CALIBRACIÓN DESPUES DE AJUSTE" sheetId="19" state="hidden" r:id="rId3"/>
    <sheet name="VERIFICACIÓN DE LA ESCALA" sheetId="18" state="hidden" r:id="rId4"/>
    <sheet name="RT03-F14" sheetId="26" state="hidden" r:id="rId5"/>
  </sheets>
  <definedNames>
    <definedName name="Beta">#REF!</definedName>
    <definedName name="CoefictérmicaRVC">#REF!</definedName>
    <definedName name="coefipatron">#REF!</definedName>
    <definedName name="CONSECUTIVO">#REF!</definedName>
    <definedName name="fabricante">#REF!</definedName>
    <definedName name="FECHACALIBRACION">#REF!</definedName>
    <definedName name="GammaRS">#REF!</definedName>
    <definedName name="GammaSCM">#REF!</definedName>
    <definedName name="IDENTIFICACION">#REF!</definedName>
    <definedName name="METROLOGO">#REF!</definedName>
    <definedName name="mL_a_gal">#REF!</definedName>
    <definedName name="mL_a_in3">#REF!</definedName>
    <definedName name="Modelo">#REF!</definedName>
    <definedName name="Print_Area" localSheetId="2">'CALIBRACIÓN DESPUES DE AJUSTE'!$A$1:$S$124</definedName>
    <definedName name="Print_Area" localSheetId="0">DATOS!$A$1:$Z$121</definedName>
    <definedName name="Print_Area" localSheetId="1">'RT03-F11'!$A$1:$S$124</definedName>
    <definedName name="Print_Area" localSheetId="4">'RT03-F14'!$A$1:$L$173</definedName>
    <definedName name="Print_Area" localSheetId="3">'VERIFICACIÓN DE LA ESCALA'!$A$1:$V$60</definedName>
    <definedName name="Print_Titles" localSheetId="2">'CALIBRACIÓN DESPUES DE AJUSTE'!$1:$1</definedName>
    <definedName name="Print_Titles" localSheetId="0">DATOS!$1:$1</definedName>
    <definedName name="Print_Titles" localSheetId="1">'RT03-F11'!$1:$1</definedName>
    <definedName name="Print_Titles" localSheetId="3">'VERIFICACIÓN DE LA ESCALA'!$1:$1</definedName>
    <definedName name="serie">#REF!</definedName>
    <definedName name="t0RS">#REF!</definedName>
    <definedName name="tRS">#REF!</definedName>
    <definedName name="tSCM">#REF!</definedName>
    <definedName name="Urvc">#REF!</definedName>
    <definedName name="Vo">#REF!</definedName>
    <definedName name="Vrvc">#REF!</definedName>
  </definedNames>
  <calcPr calcId="171027"/>
</workbook>
</file>

<file path=xl/calcChain.xml><?xml version="1.0" encoding="utf-8"?>
<calcChain xmlns="http://schemas.openxmlformats.org/spreadsheetml/2006/main">
  <c r="G116" i="19" l="1"/>
  <c r="E110" i="19"/>
  <c r="E110" i="12" l="1"/>
  <c r="G116" i="12"/>
  <c r="J44" i="19" l="1"/>
  <c r="J45" i="19"/>
  <c r="J43" i="19"/>
  <c r="M46" i="19" s="1"/>
  <c r="D44" i="19"/>
  <c r="K55" i="19" s="1"/>
  <c r="D45" i="19"/>
  <c r="D43" i="19"/>
  <c r="M48" i="12"/>
  <c r="D101" i="12" s="1"/>
  <c r="G48" i="12"/>
  <c r="O69" i="12" s="1"/>
  <c r="M44" i="12"/>
  <c r="M45" i="12"/>
  <c r="M46" i="12"/>
  <c r="M47" i="12"/>
  <c r="M43" i="12"/>
  <c r="D9" i="26"/>
  <c r="K21" i="18"/>
  <c r="F34" i="19"/>
  <c r="F33" i="19"/>
  <c r="E114" i="19" s="1"/>
  <c r="F32" i="19"/>
  <c r="E109" i="19" s="1"/>
  <c r="H109" i="19" s="1"/>
  <c r="F31" i="19"/>
  <c r="F30" i="19"/>
  <c r="F29" i="19"/>
  <c r="F28" i="19"/>
  <c r="P79" i="19" s="1"/>
  <c r="F27" i="19"/>
  <c r="F26" i="19"/>
  <c r="F25" i="19"/>
  <c r="B3" i="12"/>
  <c r="P3" i="19"/>
  <c r="M3" i="19"/>
  <c r="J3" i="19"/>
  <c r="G3" i="19"/>
  <c r="D3" i="19"/>
  <c r="B3" i="19"/>
  <c r="F34" i="12"/>
  <c r="F33" i="12"/>
  <c r="E114" i="12" s="1"/>
  <c r="F32" i="12"/>
  <c r="F31" i="12"/>
  <c r="F30" i="12"/>
  <c r="F29" i="12"/>
  <c r="F28" i="12"/>
  <c r="F27" i="12"/>
  <c r="F26" i="12"/>
  <c r="F25" i="12"/>
  <c r="A124" i="26"/>
  <c r="A125" i="26"/>
  <c r="A123" i="26"/>
  <c r="I148" i="26"/>
  <c r="G3" i="18"/>
  <c r="J3" i="18"/>
  <c r="M3" i="18"/>
  <c r="G3" i="12"/>
  <c r="E23" i="26" s="1"/>
  <c r="J3" i="12"/>
  <c r="M3" i="12"/>
  <c r="H12" i="26" s="1"/>
  <c r="L19" i="18"/>
  <c r="L20" i="18"/>
  <c r="L21" i="18"/>
  <c r="G44" i="19"/>
  <c r="G45" i="19"/>
  <c r="M44" i="19"/>
  <c r="M45" i="19"/>
  <c r="M43" i="19"/>
  <c r="G43" i="19"/>
  <c r="D38" i="12"/>
  <c r="G44" i="12"/>
  <c r="G45" i="12"/>
  <c r="G46" i="12"/>
  <c r="G47" i="12"/>
  <c r="G43" i="12"/>
  <c r="B18" i="12"/>
  <c r="D116" i="26"/>
  <c r="I18" i="12"/>
  <c r="F8" i="18" s="1"/>
  <c r="E43" i="18" s="1"/>
  <c r="O18" i="12"/>
  <c r="G8" i="18" s="1"/>
  <c r="G43" i="18" s="1"/>
  <c r="O21" i="18"/>
  <c r="N21" i="18"/>
  <c r="O18" i="18" s="1"/>
  <c r="O20" i="18"/>
  <c r="N20" i="18"/>
  <c r="D12" i="18"/>
  <c r="K28" i="18"/>
  <c r="J44" i="18" s="1"/>
  <c r="C18" i="12"/>
  <c r="C8" i="18"/>
  <c r="R11" i="18" s="1"/>
  <c r="I43" i="18"/>
  <c r="E18" i="12"/>
  <c r="D8" i="18"/>
  <c r="E44" i="18" s="1"/>
  <c r="B8" i="18"/>
  <c r="Q11" i="18"/>
  <c r="G18" i="12"/>
  <c r="E8" i="18" s="1"/>
  <c r="I7" i="19"/>
  <c r="E88" i="19"/>
  <c r="O7" i="19"/>
  <c r="G88" i="19" s="1"/>
  <c r="H88" i="19" s="1"/>
  <c r="G9" i="19"/>
  <c r="G12" i="19"/>
  <c r="P75" i="19"/>
  <c r="D32" i="19"/>
  <c r="O73" i="19"/>
  <c r="D28" i="19"/>
  <c r="O71" i="19"/>
  <c r="K56" i="19"/>
  <c r="C7" i="19"/>
  <c r="O65" i="19"/>
  <c r="I9" i="19"/>
  <c r="E98" i="19"/>
  <c r="O9" i="19"/>
  <c r="G98" i="19"/>
  <c r="H98" i="19" s="1"/>
  <c r="O12" i="19"/>
  <c r="G103" i="19"/>
  <c r="I13" i="19"/>
  <c r="K13" i="19" s="1"/>
  <c r="E104" i="19" s="1"/>
  <c r="H104" i="19" s="1"/>
  <c r="E103" i="19"/>
  <c r="H103" i="19" s="1"/>
  <c r="D3" i="12"/>
  <c r="D12" i="26" s="1"/>
  <c r="E9" i="19"/>
  <c r="E97" i="19"/>
  <c r="E12" i="19"/>
  <c r="E102" i="19" s="1"/>
  <c r="H102" i="19" s="1"/>
  <c r="C7" i="12"/>
  <c r="O67" i="12"/>
  <c r="E116" i="12" s="1"/>
  <c r="H116" i="12" s="1"/>
  <c r="L116" i="12" s="1"/>
  <c r="N116" i="12" s="1"/>
  <c r="G9" i="12"/>
  <c r="G12" i="12"/>
  <c r="P81" i="12"/>
  <c r="E9" i="12"/>
  <c r="E97" i="12" s="1"/>
  <c r="H97" i="12" s="1"/>
  <c r="D35" i="19"/>
  <c r="F35" i="19" s="1"/>
  <c r="K83" i="19"/>
  <c r="I17" i="19"/>
  <c r="E92" i="19"/>
  <c r="E17" i="19"/>
  <c r="E93" i="19"/>
  <c r="P21" i="19"/>
  <c r="O21" i="19"/>
  <c r="I21" i="19"/>
  <c r="K21" i="19"/>
  <c r="G21" i="19"/>
  <c r="E21" i="19"/>
  <c r="C21" i="19"/>
  <c r="B21" i="19"/>
  <c r="P20" i="19"/>
  <c r="O20" i="19"/>
  <c r="I20" i="19"/>
  <c r="K20" i="19"/>
  <c r="G20" i="19"/>
  <c r="E20" i="19"/>
  <c r="C20" i="19"/>
  <c r="B20" i="19"/>
  <c r="P18" i="19"/>
  <c r="O18" i="19"/>
  <c r="G92" i="19" s="1"/>
  <c r="I18" i="19"/>
  <c r="K18" i="19"/>
  <c r="G18" i="19"/>
  <c r="E18" i="19"/>
  <c r="C18" i="19"/>
  <c r="B18" i="19"/>
  <c r="P17" i="19"/>
  <c r="O17" i="19"/>
  <c r="G17" i="19"/>
  <c r="C17" i="19"/>
  <c r="D91" i="19"/>
  <c r="B17" i="19"/>
  <c r="I8" i="19"/>
  <c r="K8" i="19"/>
  <c r="O8" i="19"/>
  <c r="I10" i="19"/>
  <c r="K10" i="19"/>
  <c r="Q115" i="19"/>
  <c r="D32" i="12"/>
  <c r="O75" i="12" s="1"/>
  <c r="D28" i="12"/>
  <c r="O73" i="12" s="1"/>
  <c r="K54" i="12"/>
  <c r="K27" i="12"/>
  <c r="G175" i="26"/>
  <c r="B175" i="26"/>
  <c r="B174" i="26"/>
  <c r="D33" i="19"/>
  <c r="D34" i="19"/>
  <c r="G115" i="19"/>
  <c r="G114" i="19"/>
  <c r="H114" i="19" s="1"/>
  <c r="L114" i="19" s="1"/>
  <c r="N114" i="19" s="1"/>
  <c r="G113" i="19"/>
  <c r="I16" i="19"/>
  <c r="K16" i="19"/>
  <c r="I15" i="19"/>
  <c r="K15" i="19"/>
  <c r="I14" i="19"/>
  <c r="K14" i="19"/>
  <c r="I12" i="19"/>
  <c r="K12" i="19"/>
  <c r="I11" i="19"/>
  <c r="K11" i="19"/>
  <c r="I14" i="12"/>
  <c r="K14" i="12" s="1"/>
  <c r="M14" i="12" s="1"/>
  <c r="I15" i="12"/>
  <c r="K15" i="12"/>
  <c r="M15" i="12" s="1"/>
  <c r="C15" i="12"/>
  <c r="Q38" i="19"/>
  <c r="G16" i="19"/>
  <c r="Q37" i="19"/>
  <c r="G15" i="19"/>
  <c r="Q36" i="19"/>
  <c r="G14" i="19"/>
  <c r="P15" i="19"/>
  <c r="P16" i="19"/>
  <c r="O15" i="19"/>
  <c r="O16" i="19"/>
  <c r="E15" i="19"/>
  <c r="E16" i="19"/>
  <c r="C15" i="19"/>
  <c r="C16" i="19"/>
  <c r="B15" i="19"/>
  <c r="B16" i="19"/>
  <c r="P14" i="19"/>
  <c r="O14" i="19"/>
  <c r="E14" i="19"/>
  <c r="C14" i="19"/>
  <c r="B14" i="19"/>
  <c r="P12" i="19"/>
  <c r="P13" i="19"/>
  <c r="O13" i="19"/>
  <c r="G13" i="19"/>
  <c r="E13" i="19"/>
  <c r="C12" i="19"/>
  <c r="C13" i="19"/>
  <c r="P11" i="19"/>
  <c r="O11" i="19"/>
  <c r="G11" i="19"/>
  <c r="E11" i="19"/>
  <c r="C11" i="19"/>
  <c r="B11" i="19"/>
  <c r="B12" i="19"/>
  <c r="B13" i="19"/>
  <c r="P10" i="19"/>
  <c r="O10" i="19"/>
  <c r="G10" i="19"/>
  <c r="E10" i="19"/>
  <c r="C10" i="19"/>
  <c r="P9" i="19"/>
  <c r="C9" i="19"/>
  <c r="B9" i="19"/>
  <c r="P8" i="19"/>
  <c r="G8" i="19"/>
  <c r="E8" i="19"/>
  <c r="C8" i="19"/>
  <c r="B10" i="19"/>
  <c r="B8" i="19"/>
  <c r="P7" i="12"/>
  <c r="O7" i="12"/>
  <c r="G88" i="12" s="1"/>
  <c r="I7" i="12"/>
  <c r="E88" i="12"/>
  <c r="E7" i="12"/>
  <c r="B7" i="12"/>
  <c r="P7" i="19"/>
  <c r="G7" i="19"/>
  <c r="E7" i="19"/>
  <c r="B7" i="19"/>
  <c r="K26" i="12"/>
  <c r="K29" i="12"/>
  <c r="L26" i="12"/>
  <c r="M27" i="12" s="1"/>
  <c r="C124" i="26" s="1"/>
  <c r="C130" i="26" s="1"/>
  <c r="C125" i="26"/>
  <c r="C131" i="26" s="1"/>
  <c r="M29" i="12"/>
  <c r="C123" i="26"/>
  <c r="C129" i="26"/>
  <c r="K55" i="12"/>
  <c r="K56" i="12"/>
  <c r="K57" i="12"/>
  <c r="K58" i="12"/>
  <c r="G89" i="12"/>
  <c r="E8" i="12"/>
  <c r="G97" i="12"/>
  <c r="I9" i="12"/>
  <c r="E98" i="12" s="1"/>
  <c r="O8" i="12"/>
  <c r="G98" i="12" s="1"/>
  <c r="G99" i="12"/>
  <c r="E100" i="12"/>
  <c r="G100" i="12"/>
  <c r="E11" i="12"/>
  <c r="E102" i="12"/>
  <c r="G102" i="12"/>
  <c r="H102" i="12" s="1"/>
  <c r="I12" i="12"/>
  <c r="E103" i="12" s="1"/>
  <c r="O11" i="12"/>
  <c r="G103" i="12" s="1"/>
  <c r="G104" i="12"/>
  <c r="E105" i="12"/>
  <c r="H105" i="12" s="1"/>
  <c r="G105" i="12"/>
  <c r="G107" i="12"/>
  <c r="G109" i="12"/>
  <c r="G115" i="12"/>
  <c r="I17" i="12"/>
  <c r="E92" i="12" s="1"/>
  <c r="O17" i="12"/>
  <c r="G92" i="12" s="1"/>
  <c r="D35" i="12"/>
  <c r="E17" i="12"/>
  <c r="E93" i="12" s="1"/>
  <c r="H93" i="12" s="1"/>
  <c r="G93" i="12"/>
  <c r="G108" i="12"/>
  <c r="G110" i="12"/>
  <c r="H110" i="12" s="1"/>
  <c r="D34" i="12"/>
  <c r="E113" i="12" s="1"/>
  <c r="H113" i="12" s="1"/>
  <c r="L113" i="12" s="1"/>
  <c r="N113" i="12" s="1"/>
  <c r="G113" i="12"/>
  <c r="G114" i="12"/>
  <c r="L29" i="12"/>
  <c r="Q115" i="12"/>
  <c r="I115" i="26"/>
  <c r="I114" i="26"/>
  <c r="I113" i="26"/>
  <c r="B12" i="12"/>
  <c r="G115" i="26" s="1"/>
  <c r="B8" i="12"/>
  <c r="G114" i="26"/>
  <c r="D115" i="26"/>
  <c r="D114" i="26"/>
  <c r="P21" i="12"/>
  <c r="O21" i="12"/>
  <c r="I21" i="12"/>
  <c r="K21" i="12" s="1"/>
  <c r="M21" i="12" s="1"/>
  <c r="G21" i="12"/>
  <c r="E21" i="12"/>
  <c r="C21" i="12"/>
  <c r="B21" i="12"/>
  <c r="P20" i="12"/>
  <c r="O20" i="12"/>
  <c r="I20" i="12"/>
  <c r="K20" i="12" s="1"/>
  <c r="M20" i="12" s="1"/>
  <c r="G20" i="12"/>
  <c r="E20" i="12"/>
  <c r="C20" i="12"/>
  <c r="B20" i="12"/>
  <c r="P18" i="12"/>
  <c r="P17" i="12"/>
  <c r="G17" i="12"/>
  <c r="C17" i="12"/>
  <c r="D91" i="12" s="1"/>
  <c r="B17" i="12"/>
  <c r="G116" i="26" s="1"/>
  <c r="P16" i="12"/>
  <c r="O16" i="12"/>
  <c r="I16" i="12"/>
  <c r="K16" i="12" s="1"/>
  <c r="M16" i="12" s="1"/>
  <c r="G16" i="12"/>
  <c r="E16" i="12"/>
  <c r="C16" i="12"/>
  <c r="B16" i="12"/>
  <c r="P15" i="12"/>
  <c r="O15" i="12"/>
  <c r="G15" i="12"/>
  <c r="E15" i="12"/>
  <c r="B15" i="12"/>
  <c r="P14" i="12"/>
  <c r="O14" i="12"/>
  <c r="G14" i="12"/>
  <c r="E14" i="12"/>
  <c r="C14" i="12"/>
  <c r="B14" i="12"/>
  <c r="P13" i="12"/>
  <c r="O13" i="12"/>
  <c r="I13" i="12"/>
  <c r="K13" i="12"/>
  <c r="M13" i="12" s="1"/>
  <c r="G13" i="12"/>
  <c r="E13" i="12"/>
  <c r="P12" i="12"/>
  <c r="O12" i="12"/>
  <c r="E12" i="12"/>
  <c r="P11" i="12"/>
  <c r="I11" i="12"/>
  <c r="K11" i="12" s="1"/>
  <c r="M11" i="12" s="1"/>
  <c r="G11" i="12"/>
  <c r="P10" i="12"/>
  <c r="O10" i="12"/>
  <c r="I10" i="12"/>
  <c r="K10" i="12"/>
  <c r="M10" i="12" s="1"/>
  <c r="G10" i="12"/>
  <c r="E10" i="12"/>
  <c r="C10" i="12"/>
  <c r="C9" i="12"/>
  <c r="O9" i="12"/>
  <c r="P9" i="12"/>
  <c r="P8" i="12"/>
  <c r="I8" i="12"/>
  <c r="K8" i="12" s="1"/>
  <c r="M8" i="12" s="1"/>
  <c r="G8" i="12"/>
  <c r="C8" i="12"/>
  <c r="C13" i="12"/>
  <c r="C12" i="12"/>
  <c r="C11" i="12"/>
  <c r="B13" i="12"/>
  <c r="B11" i="12"/>
  <c r="B10" i="12"/>
  <c r="B9" i="12"/>
  <c r="D27" i="12"/>
  <c r="G113" i="26" s="1"/>
  <c r="D25" i="12"/>
  <c r="D113" i="26" s="1"/>
  <c r="E43" i="26"/>
  <c r="E40" i="26"/>
  <c r="A21" i="26"/>
  <c r="D18" i="26"/>
  <c r="D17" i="26"/>
  <c r="D38" i="19"/>
  <c r="K28" i="12"/>
  <c r="J7" i="18"/>
  <c r="I19" i="18"/>
  <c r="K22" i="18"/>
  <c r="I20" i="18"/>
  <c r="J22" i="18"/>
  <c r="J21" i="18"/>
  <c r="B12" i="18"/>
  <c r="P3" i="18"/>
  <c r="D3" i="18"/>
  <c r="B3" i="18"/>
  <c r="G110" i="19"/>
  <c r="H110" i="19" s="1"/>
  <c r="L110" i="19" s="1"/>
  <c r="N110" i="19" s="1"/>
  <c r="G109" i="19"/>
  <c r="K25" i="22"/>
  <c r="D33" i="12"/>
  <c r="G108" i="19"/>
  <c r="G107" i="19"/>
  <c r="G105" i="19"/>
  <c r="F105" i="19"/>
  <c r="G104" i="19"/>
  <c r="F104" i="19"/>
  <c r="F103" i="19"/>
  <c r="G102" i="19"/>
  <c r="F102" i="19"/>
  <c r="F101" i="19"/>
  <c r="E101" i="19"/>
  <c r="G100" i="19"/>
  <c r="F100" i="19"/>
  <c r="G99" i="19"/>
  <c r="F99" i="19"/>
  <c r="F98" i="19"/>
  <c r="G97" i="19"/>
  <c r="F94" i="19"/>
  <c r="I94" i="19"/>
  <c r="G93" i="19"/>
  <c r="F93" i="19"/>
  <c r="I93" i="19"/>
  <c r="F92" i="19"/>
  <c r="I92" i="19" s="1"/>
  <c r="G89" i="19"/>
  <c r="K89" i="19"/>
  <c r="I89" i="19"/>
  <c r="K88" i="19"/>
  <c r="D31" i="19"/>
  <c r="D30" i="19"/>
  <c r="D29" i="19"/>
  <c r="D27" i="19"/>
  <c r="D26" i="19"/>
  <c r="D25" i="19"/>
  <c r="D31" i="12"/>
  <c r="D30" i="12"/>
  <c r="D29" i="12"/>
  <c r="D26" i="12"/>
  <c r="P3" i="12"/>
  <c r="I6" i="26" s="1"/>
  <c r="H31" i="22"/>
  <c r="G7" i="12"/>
  <c r="K26" i="22"/>
  <c r="I26" i="22"/>
  <c r="E47" i="18"/>
  <c r="F92" i="12"/>
  <c r="I92" i="12"/>
  <c r="F94" i="12"/>
  <c r="I94" i="12" s="1"/>
  <c r="F93" i="12"/>
  <c r="I93" i="12"/>
  <c r="G48" i="18"/>
  <c r="J47" i="18"/>
  <c r="I45" i="18"/>
  <c r="I49" i="18" s="1"/>
  <c r="I47" i="18"/>
  <c r="G47" i="18"/>
  <c r="H47" i="18" s="1"/>
  <c r="L47" i="18" s="1"/>
  <c r="N47" i="18" s="1"/>
  <c r="J45" i="18"/>
  <c r="L45" i="18" s="1"/>
  <c r="N45" i="18" s="1"/>
  <c r="G45" i="18"/>
  <c r="E45" i="18"/>
  <c r="H45" i="18"/>
  <c r="I44" i="18"/>
  <c r="G44" i="18"/>
  <c r="F19" i="18"/>
  <c r="F20" i="18"/>
  <c r="V20" i="18"/>
  <c r="V19" i="18"/>
  <c r="V18" i="18"/>
  <c r="D44" i="18"/>
  <c r="I12" i="18"/>
  <c r="I48" i="18"/>
  <c r="F105" i="12"/>
  <c r="F104" i="12"/>
  <c r="F103" i="12"/>
  <c r="F102" i="12"/>
  <c r="F101" i="12"/>
  <c r="F100" i="12"/>
  <c r="F99" i="12"/>
  <c r="F98" i="12"/>
  <c r="K89" i="12"/>
  <c r="I89" i="12"/>
  <c r="K88" i="12"/>
  <c r="Q38" i="12"/>
  <c r="R38" i="12" s="1"/>
  <c r="G102" i="26" s="1"/>
  <c r="Q37" i="12"/>
  <c r="Q36" i="12"/>
  <c r="R36" i="12" s="1"/>
  <c r="B102" i="26" s="1"/>
  <c r="K30" i="12"/>
  <c r="L30" i="12"/>
  <c r="M28" i="12"/>
  <c r="L28" i="12"/>
  <c r="M30" i="12"/>
  <c r="R37" i="19"/>
  <c r="H93" i="19"/>
  <c r="R36" i="19"/>
  <c r="R38" i="19"/>
  <c r="H97" i="19"/>
  <c r="J19" i="18"/>
  <c r="K20" i="18" s="1"/>
  <c r="D87" i="19"/>
  <c r="P20" i="18"/>
  <c r="P21" i="18"/>
  <c r="Q21" i="18" s="1"/>
  <c r="C21" i="18"/>
  <c r="E48" i="18"/>
  <c r="H48" i="18" s="1"/>
  <c r="L48" i="18" s="1"/>
  <c r="N48" i="18" s="1"/>
  <c r="C22" i="18"/>
  <c r="D87" i="12"/>
  <c r="P71" i="12"/>
  <c r="K30" i="18"/>
  <c r="K32" i="18"/>
  <c r="K26" i="18"/>
  <c r="O29" i="19"/>
  <c r="O30" i="19" s="1"/>
  <c r="D102" i="12"/>
  <c r="K17" i="12"/>
  <c r="E94" i="12" s="1"/>
  <c r="J110" i="19"/>
  <c r="K17" i="19"/>
  <c r="G94" i="19" s="1"/>
  <c r="E113" i="19"/>
  <c r="H113" i="19" s="1"/>
  <c r="L113" i="19" s="1"/>
  <c r="N113" i="19" s="1"/>
  <c r="K9" i="19"/>
  <c r="E99" i="19" s="1"/>
  <c r="H99" i="19" s="1"/>
  <c r="J94" i="19"/>
  <c r="J93" i="19"/>
  <c r="L93" i="19"/>
  <c r="N93" i="19"/>
  <c r="J92" i="19"/>
  <c r="K7" i="12"/>
  <c r="E89" i="12" s="1"/>
  <c r="H89" i="12" s="1"/>
  <c r="E108" i="19"/>
  <c r="H108" i="19"/>
  <c r="K7" i="19"/>
  <c r="E89" i="19" s="1"/>
  <c r="H89" i="19" s="1"/>
  <c r="D96" i="12"/>
  <c r="A8" i="18"/>
  <c r="E109" i="12"/>
  <c r="H109" i="12" s="1"/>
  <c r="P77" i="12"/>
  <c r="G94" i="12"/>
  <c r="O26" i="19"/>
  <c r="O27" i="19"/>
  <c r="O28" i="19"/>
  <c r="M17" i="12"/>
  <c r="E94" i="19"/>
  <c r="K54" i="19"/>
  <c r="H100" i="12" l="1"/>
  <c r="D101" i="19"/>
  <c r="P69" i="19"/>
  <c r="K73" i="19" s="1"/>
  <c r="J109" i="19" s="1"/>
  <c r="L109" i="19" s="1"/>
  <c r="N109" i="19" s="1"/>
  <c r="K57" i="19"/>
  <c r="D36" i="19" s="1"/>
  <c r="H92" i="19"/>
  <c r="L92" i="19" s="1"/>
  <c r="N92" i="19" s="1"/>
  <c r="H94" i="19"/>
  <c r="L94" i="19" s="1"/>
  <c r="N94" i="19" s="1"/>
  <c r="M20" i="18"/>
  <c r="T12" i="18" s="1"/>
  <c r="U12" i="18" s="1"/>
  <c r="V12" i="18" s="1"/>
  <c r="M21" i="18"/>
  <c r="T13" i="18" s="1"/>
  <c r="U13" i="18" s="1"/>
  <c r="V13" i="18" s="1"/>
  <c r="M19" i="18"/>
  <c r="T11" i="18" s="1"/>
  <c r="K18" i="12"/>
  <c r="G58" i="12"/>
  <c r="H58" i="12" s="1"/>
  <c r="G57" i="12"/>
  <c r="H57" i="12" s="1"/>
  <c r="G56" i="12"/>
  <c r="H56" i="12" s="1"/>
  <c r="G55" i="12"/>
  <c r="H55" i="12" s="1"/>
  <c r="G46" i="19"/>
  <c r="K9" i="12"/>
  <c r="K12" i="12"/>
  <c r="E104" i="12" s="1"/>
  <c r="H104" i="12" s="1"/>
  <c r="K83" i="12"/>
  <c r="J92" i="12" s="1"/>
  <c r="F35" i="12"/>
  <c r="H88" i="12"/>
  <c r="K73" i="12"/>
  <c r="J109" i="12" s="1"/>
  <c r="L109" i="12" s="1"/>
  <c r="N109" i="12" s="1"/>
  <c r="E105" i="19"/>
  <c r="H105" i="19" s="1"/>
  <c r="H114" i="12"/>
  <c r="L114" i="12" s="1"/>
  <c r="N114" i="12" s="1"/>
  <c r="D102" i="19"/>
  <c r="E100" i="19"/>
  <c r="H100" i="19" s="1"/>
  <c r="M7" i="12"/>
  <c r="E101" i="12"/>
  <c r="G54" i="12"/>
  <c r="H54" i="12" s="1"/>
  <c r="H94" i="12"/>
  <c r="O29" i="12"/>
  <c r="R37" i="12"/>
  <c r="D102" i="26" s="1"/>
  <c r="H92" i="12"/>
  <c r="L92" i="12" s="1"/>
  <c r="N92" i="12" s="1"/>
  <c r="J93" i="12"/>
  <c r="J94" i="12"/>
  <c r="L94" i="12" s="1"/>
  <c r="N94" i="12" s="1"/>
  <c r="L93" i="12"/>
  <c r="N93" i="12" s="1"/>
  <c r="E108" i="12"/>
  <c r="H108" i="12" s="1"/>
  <c r="J110" i="12"/>
  <c r="L110" i="12" s="1"/>
  <c r="N110" i="12" s="1"/>
  <c r="K71" i="12"/>
  <c r="J108" i="12" s="1"/>
  <c r="K75" i="12"/>
  <c r="J107" i="12" s="1"/>
  <c r="K59" i="12"/>
  <c r="D36" i="12" s="1"/>
  <c r="E107" i="12" s="1"/>
  <c r="H107" i="12" s="1"/>
  <c r="E96" i="12"/>
  <c r="H43" i="18"/>
  <c r="D43" i="18"/>
  <c r="U11" i="18"/>
  <c r="M18" i="12"/>
  <c r="H103" i="12"/>
  <c r="M12" i="12"/>
  <c r="H98" i="12"/>
  <c r="O30" i="12"/>
  <c r="G56" i="19"/>
  <c r="H56" i="19" s="1"/>
  <c r="G54" i="19"/>
  <c r="H54" i="19" s="1"/>
  <c r="G55" i="19"/>
  <c r="H55" i="19" s="1"/>
  <c r="I97" i="26"/>
  <c r="I135" i="26"/>
  <c r="O79" i="12" l="1"/>
  <c r="E106" i="12"/>
  <c r="D106" i="12"/>
  <c r="H59" i="12"/>
  <c r="H60" i="12"/>
  <c r="E99" i="12"/>
  <c r="H99" i="12" s="1"/>
  <c r="M9" i="12"/>
  <c r="O67" i="19"/>
  <c r="D96" i="19"/>
  <c r="E96" i="19"/>
  <c r="E107" i="19"/>
  <c r="H107" i="19" s="1"/>
  <c r="E106" i="19"/>
  <c r="O77" i="19"/>
  <c r="D106" i="19"/>
  <c r="F36" i="19"/>
  <c r="P77" i="19" s="1"/>
  <c r="O27" i="12"/>
  <c r="O28" i="12"/>
  <c r="O26" i="12"/>
  <c r="L107" i="12"/>
  <c r="N107" i="12" s="1"/>
  <c r="L108" i="12"/>
  <c r="N108" i="12" s="1"/>
  <c r="F36" i="12"/>
  <c r="P79" i="12" s="1"/>
  <c r="V11" i="18"/>
  <c r="U14" i="18"/>
  <c r="D42" i="18" s="1"/>
  <c r="U15" i="18"/>
  <c r="U16" i="18" s="1"/>
  <c r="L43" i="18"/>
  <c r="N43" i="18" s="1"/>
  <c r="N50" i="18" s="1"/>
  <c r="H44" i="18"/>
  <c r="L44" i="18" s="1"/>
  <c r="N44" i="18" s="1"/>
  <c r="H57" i="19"/>
  <c r="H58" i="19"/>
  <c r="K67" i="12" l="1"/>
  <c r="K65" i="12"/>
  <c r="K69" i="12"/>
  <c r="K67" i="19"/>
  <c r="K69" i="19"/>
  <c r="H61" i="12"/>
  <c r="E115" i="12"/>
  <c r="H115" i="12" s="1"/>
  <c r="L115" i="12" s="1"/>
  <c r="E116" i="19"/>
  <c r="H116" i="19" s="1"/>
  <c r="L116" i="19" s="1"/>
  <c r="K65" i="19"/>
  <c r="K71" i="19"/>
  <c r="J108" i="19" s="1"/>
  <c r="L108" i="19" s="1"/>
  <c r="N108" i="19" s="1"/>
  <c r="K75" i="19"/>
  <c r="J107" i="19" s="1"/>
  <c r="L107" i="19" s="1"/>
  <c r="N107" i="19" s="1"/>
  <c r="P29" i="12"/>
  <c r="C120" i="12"/>
  <c r="D56" i="18"/>
  <c r="V15" i="18"/>
  <c r="V16" i="18" s="1"/>
  <c r="H49" i="18" s="1"/>
  <c r="L49" i="18" s="1"/>
  <c r="N49" i="18" s="1"/>
  <c r="V14" i="18"/>
  <c r="C56" i="18" s="1"/>
  <c r="C57" i="18" s="1"/>
  <c r="E115" i="19"/>
  <c r="H115" i="19" s="1"/>
  <c r="L115" i="19" s="1"/>
  <c r="H59" i="19"/>
  <c r="P29" i="19"/>
  <c r="C120" i="19"/>
  <c r="J88" i="12" l="1"/>
  <c r="L88" i="12" s="1"/>
  <c r="N88" i="12" s="1"/>
  <c r="N117" i="12" s="1"/>
  <c r="D120" i="12" s="1"/>
  <c r="D121" i="12" s="1"/>
  <c r="D122" i="12" s="1"/>
  <c r="J89" i="12"/>
  <c r="L89" i="12" s="1"/>
  <c r="N89" i="12" s="1"/>
  <c r="J104" i="12"/>
  <c r="L104" i="12" s="1"/>
  <c r="N104" i="12" s="1"/>
  <c r="J105" i="12"/>
  <c r="L105" i="12" s="1"/>
  <c r="N105" i="12" s="1"/>
  <c r="J103" i="12"/>
  <c r="L103" i="12" s="1"/>
  <c r="N103" i="12" s="1"/>
  <c r="J102" i="12"/>
  <c r="L102" i="12" s="1"/>
  <c r="N102" i="12" s="1"/>
  <c r="J97" i="12"/>
  <c r="L97" i="12" s="1"/>
  <c r="N97" i="12" s="1"/>
  <c r="J99" i="12"/>
  <c r="L99" i="12" s="1"/>
  <c r="N99" i="12" s="1"/>
  <c r="J100" i="12"/>
  <c r="L100" i="12" s="1"/>
  <c r="N100" i="12" s="1"/>
  <c r="J98" i="12"/>
  <c r="L98" i="12" s="1"/>
  <c r="N98" i="12" s="1"/>
  <c r="J88" i="19"/>
  <c r="L88" i="19" s="1"/>
  <c r="N88" i="19" s="1"/>
  <c r="N117" i="19" s="1"/>
  <c r="D120" i="19" s="1"/>
  <c r="D121" i="19" s="1"/>
  <c r="J89" i="19"/>
  <c r="L89" i="19" s="1"/>
  <c r="N89" i="19" s="1"/>
  <c r="P28" i="12"/>
  <c r="Q28" i="12" s="1"/>
  <c r="P30" i="12"/>
  <c r="Q30" i="12" s="1"/>
  <c r="Q29" i="12"/>
  <c r="P27" i="12"/>
  <c r="Q27" i="12" s="1"/>
  <c r="P26" i="12"/>
  <c r="Q26" i="12" s="1"/>
  <c r="J105" i="19"/>
  <c r="L105" i="19" s="1"/>
  <c r="N105" i="19" s="1"/>
  <c r="J103" i="19"/>
  <c r="L103" i="19" s="1"/>
  <c r="N103" i="19" s="1"/>
  <c r="J104" i="19"/>
  <c r="L104" i="19" s="1"/>
  <c r="N104" i="19" s="1"/>
  <c r="J102" i="19"/>
  <c r="L102" i="19" s="1"/>
  <c r="N102" i="19" s="1"/>
  <c r="J97" i="19"/>
  <c r="L97" i="19" s="1"/>
  <c r="N97" i="19" s="1"/>
  <c r="J100" i="19"/>
  <c r="L100" i="19" s="1"/>
  <c r="N100" i="19" s="1"/>
  <c r="J98" i="19"/>
  <c r="L98" i="19" s="1"/>
  <c r="N98" i="19" s="1"/>
  <c r="J99" i="19"/>
  <c r="L99" i="19" s="1"/>
  <c r="N99" i="19" s="1"/>
  <c r="H120" i="12"/>
  <c r="F123" i="26"/>
  <c r="C121" i="12"/>
  <c r="N115" i="12"/>
  <c r="D57" i="18"/>
  <c r="D58" i="18" s="1"/>
  <c r="C58" i="18"/>
  <c r="H142" i="26" s="1"/>
  <c r="H141" i="26"/>
  <c r="N53" i="18"/>
  <c r="F129" i="26"/>
  <c r="F135" i="26" s="1"/>
  <c r="C121" i="19"/>
  <c r="H120" i="19"/>
  <c r="P30" i="19"/>
  <c r="Q30" i="19" s="1"/>
  <c r="P26" i="19"/>
  <c r="Q26" i="19" s="1"/>
  <c r="P27" i="19"/>
  <c r="Q27" i="19" s="1"/>
  <c r="P28" i="19"/>
  <c r="Q28" i="19" s="1"/>
  <c r="Q29" i="19"/>
  <c r="D122" i="19"/>
  <c r="N115" i="19"/>
  <c r="N119" i="19"/>
  <c r="N119" i="12" l="1"/>
  <c r="N122" i="12" s="1"/>
  <c r="F124" i="26"/>
  <c r="C122" i="12"/>
  <c r="Q56" i="12"/>
  <c r="Q57" i="12"/>
  <c r="H121" i="12"/>
  <c r="I120" i="12"/>
  <c r="Q53" i="12"/>
  <c r="Q54" i="12"/>
  <c r="P53" i="18"/>
  <c r="O53" i="18"/>
  <c r="C122" i="19"/>
  <c r="F131" i="26" s="1"/>
  <c r="F130" i="26"/>
  <c r="D123" i="12"/>
  <c r="N122" i="19"/>
  <c r="M122" i="19"/>
  <c r="E120" i="19" s="1"/>
  <c r="Q54" i="19"/>
  <c r="Q53" i="19"/>
  <c r="Q56" i="19"/>
  <c r="Q55" i="19"/>
  <c r="H121" i="19"/>
  <c r="I120" i="19"/>
  <c r="M122" i="12" l="1"/>
  <c r="E121" i="12" s="1"/>
  <c r="F122" i="12" s="1"/>
  <c r="H125" i="26" s="1"/>
  <c r="F125" i="26"/>
  <c r="C123" i="12"/>
  <c r="H122" i="12"/>
  <c r="I121" i="12"/>
  <c r="E56" i="18"/>
  <c r="N51" i="18"/>
  <c r="F56" i="18" s="1"/>
  <c r="F57" i="18" s="1"/>
  <c r="I121" i="19"/>
  <c r="H122" i="19"/>
  <c r="I122" i="19" s="1"/>
  <c r="N118" i="19"/>
  <c r="F120" i="19"/>
  <c r="F121" i="19"/>
  <c r="F122" i="19"/>
  <c r="F123" i="12" l="1"/>
  <c r="N118" i="12"/>
  <c r="F120" i="12"/>
  <c r="J120" i="12" s="1"/>
  <c r="F121" i="12"/>
  <c r="H124" i="26" s="1"/>
  <c r="I122" i="12"/>
  <c r="H123" i="12"/>
  <c r="F58" i="18"/>
  <c r="J142" i="26" s="1"/>
  <c r="J141" i="26"/>
  <c r="H129" i="26"/>
  <c r="J120" i="19"/>
  <c r="H131" i="26"/>
  <c r="J122" i="19"/>
  <c r="H130" i="26"/>
  <c r="J121" i="19"/>
  <c r="H123" i="26" l="1"/>
  <c r="J121" i="12"/>
  <c r="I123" i="12"/>
  <c r="J122" i="12"/>
  <c r="J123" i="12" s="1"/>
</calcChain>
</file>

<file path=xl/comments1.xml><?xml version="1.0" encoding="utf-8"?>
<comments xmlns="http://schemas.openxmlformats.org/spreadsheetml/2006/main">
  <authors>
    <author>Elvis Aguirre Romero</author>
  </authors>
  <commentList>
    <comment ref="B21" authorId="0" shapeId="0">
      <text>
        <r>
          <rPr>
            <b/>
            <sz val="9"/>
            <color indexed="81"/>
            <rFont val="Tahoma"/>
            <family val="2"/>
          </rPr>
          <t>Elvis Aguirre Romero:</t>
        </r>
        <r>
          <rPr>
            <sz val="9"/>
            <color indexed="81"/>
            <rFont val="Tahoma"/>
            <family val="2"/>
          </rPr>
          <t xml:space="preserve">
Diferencia de altura</t>
        </r>
      </text>
    </comment>
  </commentList>
</comments>
</file>

<file path=xl/sharedStrings.xml><?xml version="1.0" encoding="utf-8"?>
<sst xmlns="http://schemas.openxmlformats.org/spreadsheetml/2006/main" count="1450" uniqueCount="525">
  <si>
    <t>RVC</t>
  </si>
  <si>
    <t>RVP</t>
  </si>
  <si>
    <t>Promedio</t>
  </si>
  <si>
    <t>°C</t>
  </si>
  <si>
    <t>mL</t>
  </si>
  <si>
    <t>Rectangular</t>
  </si>
  <si>
    <t>Euramet 21</t>
  </si>
  <si>
    <t>U</t>
  </si>
  <si>
    <t>N.C</t>
  </si>
  <si>
    <t>E</t>
  </si>
  <si>
    <t>gal</t>
  </si>
  <si>
    <t>1/°C</t>
  </si>
  <si>
    <t>∞</t>
  </si>
  <si>
    <t xml:space="preserve"> </t>
  </si>
  <si>
    <t>cm</t>
  </si>
  <si>
    <t>NOMBRE</t>
  </si>
  <si>
    <t>CORRECCIÓN</t>
  </si>
  <si>
    <t>hPa</t>
  </si>
  <si>
    <t>Como g ej &gt; 50  =&gt;para 95%</t>
  </si>
  <si>
    <t>Euramet 19</t>
  </si>
  <si>
    <t>Certificado de calibración</t>
  </si>
  <si>
    <t>Estimación</t>
  </si>
  <si>
    <t>mL°C-1</t>
  </si>
  <si>
    <t>FINAL</t>
  </si>
  <si>
    <t>PROMEDIO</t>
  </si>
  <si>
    <t>E3</t>
  </si>
  <si>
    <t>1 litro</t>
  </si>
  <si>
    <t>1 mililitro</t>
  </si>
  <si>
    <t>Objeto:</t>
  </si>
  <si>
    <t>Fabricante.</t>
  </si>
  <si>
    <t>Número de Serie</t>
  </si>
  <si>
    <t>Fecha de recepción</t>
  </si>
  <si>
    <t>Fecha de calibración</t>
  </si>
  <si>
    <t>Temperatura</t>
  </si>
  <si>
    <t>Pipeta</t>
  </si>
  <si>
    <t>Temperatura de Referencia</t>
  </si>
  <si>
    <t>Capacidad nominal</t>
  </si>
  <si>
    <t>FIRMAS AUTORIZADAS:</t>
  </si>
  <si>
    <t>____________________________________</t>
  </si>
  <si>
    <t>Firma Autorizada</t>
  </si>
  <si>
    <t>Calibrado Por:</t>
  </si>
  <si>
    <t>Fecha de elaboración:</t>
  </si>
  <si>
    <t>Dirección</t>
  </si>
  <si>
    <t>Recipiente volumétrico metálico identificado así:</t>
  </si>
  <si>
    <t>Humedad Relativa</t>
  </si>
  <si>
    <t>Presión atmosférica</t>
  </si>
  <si>
    <t>Recipiente Volumétrico</t>
  </si>
  <si>
    <t>El recipiente fue calibrado para suministrar por el método Volumétrico usando agua potable directamente del grifo del laboratorio.</t>
  </si>
  <si>
    <t>El pre-mojado al momento de usarlo se realiza llenándolo hasta el trazo que indica su capacidad nominal y drenándolo en un tiempo mínimo total de 60 s ±10 s, incluyendo 30 segundos de escurrido, después de haber cesado el flujo principal.</t>
  </si>
  <si>
    <t>Material de construcción:</t>
  </si>
  <si>
    <t>Estado de la Superficie interna:</t>
  </si>
  <si>
    <t>Estado de la Superficie externa:</t>
  </si>
  <si>
    <t>Resolución:</t>
  </si>
  <si>
    <t>Tipo de visor</t>
  </si>
  <si>
    <t>Tipo de nivelación</t>
  </si>
  <si>
    <t>Fabricante</t>
  </si>
  <si>
    <t>Modelo</t>
  </si>
  <si>
    <t>Capacidad del RVC a la temperatura de referencia.</t>
  </si>
  <si>
    <t xml:space="preserve">Donde: </t>
  </si>
  <si>
    <t xml:space="preserve">Capacidad del RVP, a la temperatura de referencia  20°C, hasta el trazo que indica su capacidad nominal de 5 galones.  </t>
  </si>
  <si>
    <t xml:space="preserve">Los patrones utilizados en la calibración de este instrumento están trazados al sistema internacional de unidades, a través de patrones nacionales de la magnitud volumen.
</t>
  </si>
  <si>
    <t>La nivelación será proporcionada por la estructura del recipiente, sin embargo si se hace necesario se deben usar implementos que garanticen su nivelación.</t>
  </si>
  <si>
    <t>El recipiente no presenta daños superficiales.</t>
  </si>
  <si>
    <t>Capacidad Nominal en galones</t>
  </si>
  <si>
    <t>Litros</t>
  </si>
  <si>
    <t>Mililitros</t>
  </si>
  <si>
    <t xml:space="preserve">Capacidad </t>
  </si>
  <si>
    <t xml:space="preserve"> in3   ±</t>
  </si>
  <si>
    <t>Información del Cliente</t>
  </si>
  <si>
    <t>Solicitante</t>
  </si>
  <si>
    <t>Ciudad</t>
  </si>
  <si>
    <t>1.   INFORMACIÓN DEL EQUIPO SOMETIDO A CALIBRACIÓN</t>
  </si>
  <si>
    <t>4.    DESCRIPCIÓN DEL EQUIPO CALIBRADO</t>
  </si>
  <si>
    <t>Capacidad Nominal:</t>
  </si>
  <si>
    <t>0,5 in3</t>
  </si>
  <si>
    <t xml:space="preserve">Es el coeficiente de expansión térmica del material del RVP. </t>
  </si>
  <si>
    <t>Es la temperatura de referencia en el RVP, según certificado                                (generalmente    20°C).</t>
  </si>
  <si>
    <t>Es la temperatura del líquido medida dentro del  RVP.</t>
  </si>
  <si>
    <t>Es el coeficiente de expansión térmica del agua.</t>
  </si>
  <si>
    <t>Es la temperatura del líquido medida dentro del RVC.</t>
  </si>
  <si>
    <t xml:space="preserve"> Coeficiente de expansión térmica del material del RVC.</t>
  </si>
  <si>
    <t>Temperatura de referencia en el RVC (generalmente 20°C).</t>
  </si>
  <si>
    <t xml:space="preserve">Delta respecto a la lectura del menisco </t>
  </si>
  <si>
    <t>Delta respecto a la repetibilidad de las mediciones</t>
  </si>
  <si>
    <t>Delta respecto a factores adicionales</t>
  </si>
  <si>
    <t>6.  CONDICIONES AMBIENTALES</t>
  </si>
  <si>
    <t>7.   INCERTIDUMBRE DE MEDICIÓN</t>
  </si>
  <si>
    <t>8.   TRAZABILIDAD DE LA MEDICIÓN</t>
  </si>
  <si>
    <t>Instrumento</t>
  </si>
  <si>
    <t>Tipo</t>
  </si>
  <si>
    <t>No. de Serie</t>
  </si>
  <si>
    <t>Trazabilidad</t>
  </si>
  <si>
    <t>Agua Potable</t>
  </si>
  <si>
    <t>EAAB</t>
  </si>
  <si>
    <t>9.   RESULTADOS DE LA CALIBRACIÓN</t>
  </si>
  <si>
    <t>Se efectuaron 5 ciclos de vaciado y llenado para determinar la capacidad del recipiente</t>
  </si>
  <si>
    <r>
      <t>La escala fue verificada en el intervalo de medición 5 galones ± 10 in</t>
    </r>
    <r>
      <rPr>
        <vertAlign val="superscript"/>
        <sz val="12"/>
        <color theme="1"/>
        <rFont val="Arial Narrow"/>
        <family val="2"/>
      </rPr>
      <t>3</t>
    </r>
    <r>
      <rPr>
        <sz val="12"/>
        <color theme="1"/>
        <rFont val="Arial Narrow"/>
        <family val="2"/>
      </rPr>
      <t>.</t>
    </r>
  </si>
  <si>
    <t>DATOS DE LOS PATRONES</t>
  </si>
  <si>
    <t>Unidad</t>
  </si>
  <si>
    <t xml:space="preserve">Incertidumbre por Deriva </t>
  </si>
  <si>
    <t>ml</t>
  </si>
  <si>
    <t>Termómetro (RVP)</t>
  </si>
  <si>
    <t>Termómetro (RVC)</t>
  </si>
  <si>
    <t>Cronometro</t>
  </si>
  <si>
    <t>Pie de Rey</t>
  </si>
  <si>
    <t>DATOS DE LOS RECIPIENTES</t>
  </si>
  <si>
    <t>TABLA DE CONVERSIÓN</t>
  </si>
  <si>
    <t>Nombre</t>
  </si>
  <si>
    <t>Valor nominal</t>
  </si>
  <si>
    <t>Capacidad del RVP según certificado</t>
  </si>
  <si>
    <t>Volumen calculado en el RVC</t>
  </si>
  <si>
    <t>Diferencia respecto al patrón</t>
  </si>
  <si>
    <t>Serhapin test Measure</t>
  </si>
  <si>
    <t>Series "M"</t>
  </si>
  <si>
    <t>1 galón</t>
  </si>
  <si>
    <t>Hora de Inicio</t>
  </si>
  <si>
    <t>Hora final</t>
  </si>
  <si>
    <t>Temperatura de referencia</t>
  </si>
  <si>
    <t>DATOS DE CONDICIONES AMBIENTALES</t>
  </si>
  <si>
    <t>INICIO</t>
  </si>
  <si>
    <t xml:space="preserve">División de escala  </t>
  </si>
  <si>
    <t>%rH</t>
  </si>
  <si>
    <t xml:space="preserve">Coeficiente cubico de expansión térmico del agua </t>
  </si>
  <si>
    <t>Presión Atmosférica</t>
  </si>
  <si>
    <t>Coeficiente cubico de expansión térmico del material</t>
  </si>
  <si>
    <t>Diámetro interno del cuello</t>
  </si>
  <si>
    <t>Ancho de los trazos de la escala</t>
  </si>
  <si>
    <t>CICLOS DE CALIBRACIÓN</t>
  </si>
  <si>
    <t xml:space="preserve">TOMA DE DATOS DEL RVP </t>
  </si>
  <si>
    <t xml:space="preserve">TOMA DE DATOS DEL RVC </t>
  </si>
  <si>
    <t>Ítem</t>
  </si>
  <si>
    <t>Temperatura liquido °C</t>
  </si>
  <si>
    <t>Vertido (s)</t>
  </si>
  <si>
    <t>Escurrido (s)</t>
  </si>
  <si>
    <t>Total de (V+E) (s)</t>
  </si>
  <si>
    <t>Delta del volumen</t>
  </si>
  <si>
    <t xml:space="preserve">n =                     </t>
  </si>
  <si>
    <t>ANÁLISIS DE CAPACIDAD DE VOLUMEN (RVC) ml</t>
  </si>
  <si>
    <t>Adicionar / Sustraer  (mL)</t>
  </si>
  <si>
    <t xml:space="preserve">                             ( mL)    </t>
  </si>
  <si>
    <t>COEFICIENTE DE SENSIBILIDAD CON RESPECTO AL VOLUMEN DE REFERENCIA (RVP)</t>
  </si>
  <si>
    <t>Derivadas Parciales</t>
  </si>
  <si>
    <t xml:space="preserve">Respecto al Coeficiente cubico de expansión térmico del agua </t>
  </si>
  <si>
    <t>Respecto a la lectura del menisco</t>
  </si>
  <si>
    <t>Respecto a la repetibilidad de las mediciones</t>
  </si>
  <si>
    <t>Respecto a los factores adicionales</t>
  </si>
  <si>
    <t>PRESPUESTO DE INCERTIDUMBRE</t>
  </si>
  <si>
    <t>Magnitud</t>
  </si>
  <si>
    <t>Incertidumbre Original</t>
  </si>
  <si>
    <t>k</t>
  </si>
  <si>
    <t>Incertidumbre Estándar</t>
  </si>
  <si>
    <t>Coeficientes de Sensibilidad</t>
  </si>
  <si>
    <t>Contribución</t>
  </si>
  <si>
    <t>Fuente Información</t>
  </si>
  <si>
    <t>Tipo de distribución</t>
  </si>
  <si>
    <t>Grados Efectivos de Libertad</t>
  </si>
  <si>
    <t>Volumen Recipiente de Referencia</t>
  </si>
  <si>
    <t xml:space="preserve">Calibración </t>
  </si>
  <si>
    <t>Normal</t>
  </si>
  <si>
    <t>Deriva</t>
  </si>
  <si>
    <t>Temperatura del agua en el RVP</t>
  </si>
  <si>
    <t>Resolución termómetro</t>
  </si>
  <si>
    <t>Calibración</t>
  </si>
  <si>
    <t>Inhomogenidad</t>
  </si>
  <si>
    <t>Temperatura del agua en el RVC</t>
  </si>
  <si>
    <t>Coeficiente cubico de expansión                           térmico del Agua</t>
  </si>
  <si>
    <t>Calculada</t>
  </si>
  <si>
    <t>Coeficiente cubico de                                                  expansión térmico del material</t>
  </si>
  <si>
    <t>Referencia placa</t>
  </si>
  <si>
    <t>Coeficiente cubico de                                          expansión térmico del material</t>
  </si>
  <si>
    <t>Referencia tabla 1</t>
  </si>
  <si>
    <t>Incertidumbres Adicionales</t>
  </si>
  <si>
    <t xml:space="preserve">Lectura del menisco RVP  </t>
  </si>
  <si>
    <t xml:space="preserve">Lectura del menisco RVC  </t>
  </si>
  <si>
    <t>Delta por repetibilidad</t>
  </si>
  <si>
    <t>tabla 2</t>
  </si>
  <si>
    <t>Delta de adicionales</t>
  </si>
  <si>
    <t>Euramet 21 Tabla 2</t>
  </si>
  <si>
    <t>U expandida</t>
  </si>
  <si>
    <t>Resultados Finales</t>
  </si>
  <si>
    <r>
      <t>V</t>
    </r>
    <r>
      <rPr>
        <vertAlign val="subscript"/>
        <sz val="16"/>
        <color theme="1"/>
        <rFont val="Arial"/>
        <family val="2"/>
      </rPr>
      <t>t</t>
    </r>
  </si>
  <si>
    <r>
      <t>u ( V</t>
    </r>
    <r>
      <rPr>
        <vertAlign val="subscript"/>
        <sz val="16"/>
        <color theme="1"/>
        <rFont val="Arial"/>
        <family val="2"/>
      </rPr>
      <t xml:space="preserve">t </t>
    </r>
    <r>
      <rPr>
        <sz val="16"/>
        <color theme="1"/>
        <rFont val="Arial"/>
        <family val="2"/>
      </rPr>
      <t>)</t>
    </r>
  </si>
  <si>
    <t>│E│</t>
  </si>
  <si>
    <t>U corregida</t>
  </si>
  <si>
    <r>
      <t>in</t>
    </r>
    <r>
      <rPr>
        <vertAlign val="superscript"/>
        <sz val="18"/>
        <color theme="1"/>
        <rFont val="Arial"/>
        <family val="2"/>
      </rPr>
      <t>3</t>
    </r>
  </si>
  <si>
    <t>Termómetro RVP</t>
  </si>
  <si>
    <t>Termómetro RVC</t>
  </si>
  <si>
    <t>Digital</t>
  </si>
  <si>
    <t>Vidrio</t>
  </si>
  <si>
    <t>11.   OBSERVACIONES</t>
  </si>
  <si>
    <t>10.   LA ESCALA FUE AJUSTADA</t>
  </si>
  <si>
    <t>INTERPOLACION CERTIFICADO DE CALIBRACION</t>
  </si>
  <si>
    <t>ANALISIS DE DATOS INTERPOLACIÓN (mL)</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</si>
  <si>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</si>
  <si>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</si>
  <si>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</si>
  <si>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</si>
  <si>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</si>
  <si>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</si>
  <si>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</si>
  <si>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</si>
  <si>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</si>
  <si>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</si>
  <si>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</si>
  <si>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</si>
  <si>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</si>
  <si>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</si>
  <si>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max</t>
  </si>
  <si>
    <t>TABLA DE CONVERSION</t>
  </si>
  <si>
    <t>h min</t>
  </si>
  <si>
    <t>1 galon</t>
  </si>
  <si>
    <t>Litro</t>
  </si>
  <si>
    <t>Mililitro</t>
  </si>
  <si>
    <t>Respecto a D</t>
  </si>
  <si>
    <t xml:space="preserve">Respecto </t>
  </si>
  <si>
    <t>(ui(y))2</t>
  </si>
  <si>
    <t>Certificado de calibracion</t>
  </si>
  <si>
    <t>Delta de volumen maximo de lectura</t>
  </si>
  <si>
    <t>Estimada</t>
  </si>
  <si>
    <t>Delta de volumen minimo de lectura</t>
  </si>
  <si>
    <t>Delta por Inhomogenidad</t>
  </si>
  <si>
    <t>Delta por metodo</t>
  </si>
  <si>
    <t>Division de escala</t>
  </si>
  <si>
    <t>2.   LUGAR Y DIRECCIÓN DE CALIBRACIÓN</t>
  </si>
  <si>
    <t xml:space="preserve">5.   MÉTODO DE CALIBRACIÓN UTILIZADO </t>
  </si>
  <si>
    <t>% rH</t>
  </si>
  <si>
    <t>mm</t>
  </si>
  <si>
    <t>Luis Henry Barreto Rojas</t>
  </si>
  <si>
    <r>
      <t>y</t>
    </r>
    <r>
      <rPr>
        <b/>
        <vertAlign val="subscript"/>
        <sz val="12"/>
        <color theme="1"/>
        <rFont val="Arial"/>
        <family val="2"/>
      </rPr>
      <t>3</t>
    </r>
  </si>
  <si>
    <r>
      <t>y</t>
    </r>
    <r>
      <rPr>
        <b/>
        <vertAlign val="subscript"/>
        <sz val="12"/>
        <color theme="1"/>
        <rFont val="Arial"/>
        <family val="2"/>
      </rPr>
      <t>1</t>
    </r>
  </si>
  <si>
    <r>
      <t>1 in</t>
    </r>
    <r>
      <rPr>
        <b/>
        <vertAlign val="superscript"/>
        <sz val="14"/>
        <color rgb="FF000000"/>
        <rFont val="Arial"/>
        <family val="2"/>
      </rPr>
      <t>3</t>
    </r>
  </si>
  <si>
    <r>
      <t>1 in</t>
    </r>
    <r>
      <rPr>
        <b/>
        <vertAlign val="superscript"/>
        <sz val="10"/>
        <color theme="1"/>
        <rFont val="Arial"/>
        <family val="2"/>
      </rPr>
      <t>3</t>
    </r>
  </si>
  <si>
    <r>
      <t>1 cm</t>
    </r>
    <r>
      <rPr>
        <b/>
        <vertAlign val="superscript"/>
        <sz val="10"/>
        <color theme="1"/>
        <rFont val="Arial"/>
        <family val="2"/>
      </rPr>
      <t>3</t>
    </r>
  </si>
  <si>
    <r>
      <t>V</t>
    </r>
    <r>
      <rPr>
        <i/>
        <vertAlign val="subscript"/>
        <sz val="12"/>
        <color theme="1"/>
        <rFont val="Arial"/>
        <family val="2"/>
      </rPr>
      <t>t</t>
    </r>
  </si>
  <si>
    <r>
      <t>V</t>
    </r>
    <r>
      <rPr>
        <i/>
        <vertAlign val="subscript"/>
        <sz val="12"/>
        <color theme="1"/>
        <rFont val="Arial"/>
        <family val="2"/>
      </rPr>
      <t xml:space="preserve">t + </t>
    </r>
    <r>
      <rPr>
        <vertAlign val="subscript"/>
        <sz val="12"/>
        <color theme="1"/>
        <rFont val="Arial"/>
        <family val="2"/>
      </rPr>
      <t>±</t>
    </r>
    <r>
      <rPr>
        <i/>
        <vertAlign val="subscript"/>
        <sz val="12"/>
        <color theme="1"/>
        <rFont val="Arial"/>
        <family val="2"/>
      </rPr>
      <t xml:space="preserve"> </t>
    </r>
    <r>
      <rPr>
        <i/>
        <sz val="12"/>
        <color theme="1"/>
        <rFont val="Arial"/>
        <family val="2"/>
      </rPr>
      <t>∆V)</t>
    </r>
  </si>
  <si>
    <r>
      <t>°C</t>
    </r>
    <r>
      <rPr>
        <vertAlign val="superscript"/>
        <sz val="10"/>
        <color theme="1"/>
        <rFont val="Arial"/>
        <family val="2"/>
      </rPr>
      <t>-1</t>
    </r>
  </si>
  <si>
    <r>
      <t>Adicionar / Sustraer  (in</t>
    </r>
    <r>
      <rPr>
        <vertAlign val="superscript"/>
        <sz val="14"/>
        <color theme="1"/>
        <rFont val="Arial"/>
        <family val="2"/>
      </rPr>
      <t>3)</t>
    </r>
  </si>
  <si>
    <r>
      <t xml:space="preserve">Promedio   </t>
    </r>
    <r>
      <rPr>
        <b/>
        <i/>
        <sz val="11"/>
        <color theme="0"/>
        <rFont val="Arial"/>
        <family val="2"/>
      </rPr>
      <t>Vt</t>
    </r>
  </si>
  <si>
    <r>
      <t xml:space="preserve">Desviación </t>
    </r>
    <r>
      <rPr>
        <b/>
        <i/>
        <sz val="11"/>
        <color theme="0"/>
        <rFont val="Arial"/>
        <family val="2"/>
      </rPr>
      <t>s  Vt</t>
    </r>
  </si>
  <si>
    <r>
      <t xml:space="preserve">Valor Estimado </t>
    </r>
    <r>
      <rPr>
        <b/>
        <i/>
        <sz val="12"/>
        <color theme="1"/>
        <rFont val="Arial"/>
        <family val="2"/>
      </rPr>
      <t>X</t>
    </r>
    <r>
      <rPr>
        <b/>
        <i/>
        <vertAlign val="subscript"/>
        <sz val="12"/>
        <color theme="1"/>
        <rFont val="Arial"/>
        <family val="2"/>
      </rPr>
      <t>i</t>
    </r>
  </si>
  <si>
    <r>
      <t xml:space="preserve">Contribucion </t>
    </r>
    <r>
      <rPr>
        <b/>
        <vertAlign val="superscript"/>
        <sz val="10"/>
        <color theme="1"/>
        <rFont val="Arial"/>
        <family val="2"/>
      </rPr>
      <t>2</t>
    </r>
  </si>
  <si>
    <t>Incertidumbre del Certificado</t>
  </si>
  <si>
    <t>Incertidumbre Estandar Global</t>
  </si>
  <si>
    <t>Fecha de Calibración</t>
  </si>
  <si>
    <t>División de Escala / Resolución</t>
  </si>
  <si>
    <t>Identificación             /  
Serie</t>
  </si>
  <si>
    <r>
      <t xml:space="preserve">Corrección </t>
    </r>
    <r>
      <rPr>
        <b/>
        <sz val="7"/>
        <color theme="1"/>
        <rFont val="Arial"/>
        <family val="2"/>
      </rPr>
      <t>(Según Certificado)</t>
    </r>
  </si>
  <si>
    <r>
      <t xml:space="preserve">Capacidad            </t>
    </r>
    <r>
      <rPr>
        <b/>
        <sz val="8"/>
        <color theme="1"/>
        <rFont val="Arial"/>
        <family val="2"/>
      </rPr>
      <t>(Según Certificado)</t>
    </r>
  </si>
  <si>
    <t xml:space="preserve">Termohigrometro </t>
  </si>
  <si>
    <r>
      <t xml:space="preserve">Factor de Cobertura </t>
    </r>
    <r>
      <rPr>
        <b/>
        <sz val="8"/>
        <color theme="1"/>
        <rFont val="Arial"/>
        <family val="2"/>
      </rPr>
      <t>(Según Certificado)</t>
    </r>
  </si>
  <si>
    <t>Coeficiente cubico de expansión térmico del material (IP)</t>
  </si>
  <si>
    <t xml:space="preserve">Delta de adicionales   </t>
  </si>
  <si>
    <t>s</t>
  </si>
  <si>
    <t xml:space="preserve">Coeficiente de expansión térmica del agua   ß </t>
  </si>
  <si>
    <t xml:space="preserve">Pipeta </t>
  </si>
  <si>
    <t xml:space="preserve">Probeta </t>
  </si>
  <si>
    <t>Recipientes Volumetricos Patrón</t>
  </si>
  <si>
    <t>Termohigrometros</t>
  </si>
  <si>
    <t>Pipetas</t>
  </si>
  <si>
    <t>Probetas</t>
  </si>
  <si>
    <t>Cronometros</t>
  </si>
  <si>
    <t>Fecha de Recepción</t>
  </si>
  <si>
    <t>Lugar de Calibración</t>
  </si>
  <si>
    <t>Codigo interno</t>
  </si>
  <si>
    <t>Certificado</t>
  </si>
  <si>
    <t>100.27</t>
  </si>
  <si>
    <t>MICROMETRO DE EXTERIORES</t>
  </si>
  <si>
    <t>Pie de Rey           "puntas de interiores"</t>
  </si>
  <si>
    <t>Pie de Rey           "puntas de exteriores"</t>
  </si>
  <si>
    <t>Unidades en  " °C "</t>
  </si>
  <si>
    <t>Unidades en    " mm "</t>
  </si>
  <si>
    <t>Unidades en    " s "</t>
  </si>
  <si>
    <t xml:space="preserve">Puntos para Interpolar según  Certificado </t>
  </si>
  <si>
    <t>Serie</t>
  </si>
  <si>
    <t>Capacidad Nominal en  " gal "</t>
  </si>
  <si>
    <t>Resolución</t>
  </si>
  <si>
    <t>NOMBRE DEL METRÓLOGO</t>
  </si>
  <si>
    <t>Respecto al Coeficiente cubico de expansión térmico del material del " RVC "</t>
  </si>
  <si>
    <t>Respecto al Coeficiente cubico de expansión térmico del material del  " RVP "</t>
  </si>
  <si>
    <t>Respecto al volumen de referencia del  " RVP "</t>
  </si>
  <si>
    <t>Respecto a la temperatura del líquido en el  " RVP "</t>
  </si>
  <si>
    <t>Respecto ala temperatura del liquido en el  " RVC "</t>
  </si>
  <si>
    <t>Respecto al Coeficiente cubico de expansión térmico del material del  " IP "</t>
  </si>
  <si>
    <t>Pipeta   " IP "</t>
  </si>
  <si>
    <t>Calibración  " IP "</t>
  </si>
  <si>
    <t>Resolución    " IP "</t>
  </si>
  <si>
    <t>Deriva  " IP "</t>
  </si>
  <si>
    <t>V-005</t>
  </si>
  <si>
    <t>V-001</t>
  </si>
  <si>
    <t xml:space="preserve">14-92812                </t>
  </si>
  <si>
    <t xml:space="preserve">22,1014,1212,,005 / pt 347980,004     </t>
  </si>
  <si>
    <t xml:space="preserve">004,0816,1212,006 / pt 347980,002     </t>
  </si>
  <si>
    <t xml:space="preserve">004,0816,1212,006 / pt 347980,002    </t>
  </si>
  <si>
    <t>V-1</t>
  </si>
  <si>
    <t>V-2</t>
  </si>
  <si>
    <t>V-3</t>
  </si>
  <si>
    <t>V-4</t>
  </si>
  <si>
    <t>V-5</t>
  </si>
  <si>
    <t>V-6</t>
  </si>
  <si>
    <t>V-7</t>
  </si>
  <si>
    <t>V-8</t>
  </si>
  <si>
    <t>V-9</t>
  </si>
  <si>
    <t>V-10</t>
  </si>
  <si>
    <t>V-11</t>
  </si>
  <si>
    <t xml:space="preserve">CR -01        Auxiliar </t>
  </si>
  <si>
    <t>V-14</t>
  </si>
  <si>
    <t>Corrección (Según Certificado)</t>
  </si>
  <si>
    <t>Factor de Cobertura (Según Certificado)</t>
  </si>
  <si>
    <t>No</t>
  </si>
  <si>
    <t>Diámetro interno del cuello (cm)</t>
  </si>
  <si>
    <t>Coeficiente cubico de expansión térmico del material ( °C-1)</t>
  </si>
  <si>
    <t>División de escala ( mL )</t>
  </si>
  <si>
    <t>Temperatura de referencia ( °C )</t>
  </si>
  <si>
    <t>Resolución ( mL )</t>
  </si>
  <si>
    <t>Ancho de los trazos de la escala (cm)</t>
  </si>
  <si>
    <t>Coeficiente cubico de expansión térmico del material (IP)  ( °C-1)</t>
  </si>
  <si>
    <t>Metrologos</t>
  </si>
  <si>
    <t>Elvis Aguirre Romero</t>
  </si>
  <si>
    <t>Pedro Jose Vargas Lopéz</t>
  </si>
  <si>
    <t>Arcesio Velandia Carreño</t>
  </si>
  <si>
    <t>Nombre del Metrologo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</si>
  <si>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</si>
  <si>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</si>
  <si>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</si>
  <si>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Diferencia de halturas  (D</t>
    </r>
    <r>
      <rPr>
        <b/>
        <vertAlign val="subscript"/>
        <sz val="12"/>
        <color theme="1"/>
        <rFont val="Arial"/>
        <family val="2"/>
      </rPr>
      <t>h</t>
    </r>
    <r>
      <rPr>
        <b/>
        <sz val="12"/>
        <color theme="1"/>
        <rFont val="Arial"/>
        <family val="2"/>
      </rPr>
      <t>)</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</si>
  <si>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</si>
  <si>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rPr>
        <i/>
        <sz val="12"/>
        <color theme="1"/>
        <rFont val="Arial"/>
        <family val="2"/>
      </rPr>
      <t>u</t>
    </r>
    <r>
      <rPr>
        <sz val="12"/>
        <color theme="1"/>
        <rFont val="Arial"/>
        <family val="2"/>
      </rPr>
      <t xml:space="preserve"> division de escala </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</si>
  <si>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</si>
  <si>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</si>
  <si>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</si>
  <si>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t>Verificaión de Escala</t>
  </si>
  <si>
    <r>
      <t xml:space="preserve">0,5 </t>
    </r>
    <r>
      <rPr>
        <b/>
        <vertAlign val="superscript"/>
        <sz val="12"/>
        <color theme="1"/>
        <rFont val="Arial"/>
        <family val="2"/>
      </rPr>
      <t xml:space="preserve">   </t>
    </r>
    <r>
      <rPr>
        <b/>
        <sz val="12"/>
        <color theme="1"/>
        <rFont val="Arial"/>
        <family val="2"/>
      </rPr>
      <t>=</t>
    </r>
  </si>
  <si>
    <r>
      <t xml:space="preserve">1 </t>
    </r>
    <r>
      <rPr>
        <b/>
        <vertAlign val="superscript"/>
        <sz val="12"/>
        <color theme="1"/>
        <rFont val="Arial"/>
        <family val="2"/>
      </rPr>
      <t xml:space="preserve">   </t>
    </r>
    <r>
      <rPr>
        <b/>
        <sz val="12"/>
        <color theme="1"/>
        <rFont val="Arial"/>
        <family val="2"/>
      </rPr>
      <t>=</t>
    </r>
  </si>
  <si>
    <t># de Espacios</t>
  </si>
  <si>
    <t>Capacidad Nomimal y según certificado</t>
  </si>
  <si>
    <t>Nominal</t>
  </si>
  <si>
    <r>
      <t>D</t>
    </r>
    <r>
      <rPr>
        <b/>
        <vertAlign val="subscript"/>
        <sz val="14"/>
        <color rgb="FFFFFFFF"/>
        <rFont val="Arial"/>
        <family val="2"/>
      </rPr>
      <t>promedio</t>
    </r>
  </si>
  <si>
    <r>
      <t>INTERVALO DE LA ESCALA DEL RV  EN  ±10 in</t>
    </r>
    <r>
      <rPr>
        <b/>
        <vertAlign val="superscript"/>
        <sz val="14"/>
        <color rgb="FFFFFFFF"/>
        <rFont val="Arial"/>
        <family val="2"/>
      </rPr>
      <t>3</t>
    </r>
  </si>
  <si>
    <r>
      <t>ALTURAS DE ESPACIOS EN RV  ± 10 in</t>
    </r>
    <r>
      <rPr>
        <b/>
        <vertAlign val="superscript"/>
        <sz val="14"/>
        <color rgb="FFFFFFFF"/>
        <rFont val="Arial"/>
        <family val="2"/>
      </rPr>
      <t>3</t>
    </r>
  </si>
  <si>
    <t>Magnitud de entrada</t>
  </si>
  <si>
    <t>Valor estimado (xi)</t>
  </si>
  <si>
    <t>Incertidumbre original</t>
  </si>
  <si>
    <t>Incertidumbre estandar  u(xi)</t>
  </si>
  <si>
    <t>Coeficiente de sencibilidad (ci)</t>
  </si>
  <si>
    <t>Contribución ui(y)</t>
  </si>
  <si>
    <t>Tipo de Distribución</t>
  </si>
  <si>
    <t>Gradoas de libertad    Vi</t>
  </si>
  <si>
    <t>Volumen suministrado probeta patron</t>
  </si>
  <si>
    <t>Calibración probeta patron</t>
  </si>
  <si>
    <t>Lectura probeta patron</t>
  </si>
  <si>
    <t>Unidades en   " mL "</t>
  </si>
  <si>
    <t>Identificación / serie</t>
  </si>
  <si>
    <t>Capacidad (Según Certificado)</t>
  </si>
  <si>
    <t>Identificación / Serie</t>
  </si>
  <si>
    <t>Capacidad  (Según Certificado)</t>
  </si>
  <si>
    <t>Recipiente Volumétrico de 5 Galones</t>
  </si>
  <si>
    <t>División de escala nominal:</t>
  </si>
  <si>
    <t>Las condiciones ambientales promedio en el laboratorio durante la calibración fueron las siguientes:</t>
  </si>
  <si>
    <t>Incertidumbre    U</t>
  </si>
  <si>
    <t>Incertidumbre      U</t>
  </si>
  <si>
    <t>La escala fue verificada:</t>
  </si>
  <si>
    <t>Los valores arrojados en la verificación de la escala del recipiente volumétrico son validos únicamente para el estado del recipiente al momento de la prueba.  (recipiente correctamente nivelado y humedecido previamente)</t>
  </si>
  <si>
    <t xml:space="preserve">  Responsable de la Calibración</t>
  </si>
  <si>
    <t>…………………..Fin de este documento………………………</t>
  </si>
  <si>
    <t>Lufft Opus 20</t>
  </si>
  <si>
    <t>Brand</t>
  </si>
  <si>
    <t>Lms Germany</t>
  </si>
  <si>
    <t>MC</t>
  </si>
  <si>
    <t>Simax</t>
  </si>
  <si>
    <t>Mitutoyo</t>
  </si>
  <si>
    <t>Procal.c</t>
  </si>
  <si>
    <t>V-12</t>
  </si>
  <si>
    <t xml:space="preserve">Lufft </t>
  </si>
  <si>
    <t>INM 2286</t>
  </si>
  <si>
    <t>INM (S)1725</t>
  </si>
  <si>
    <t>Trazabilidad y numero</t>
  </si>
  <si>
    <t>Observaciones</t>
  </si>
  <si>
    <r>
      <t>Adicionar / Sustraer  in</t>
    </r>
    <r>
      <rPr>
        <vertAlign val="superscript"/>
        <sz val="14"/>
        <color theme="1"/>
        <rFont val="Arial"/>
        <family val="2"/>
      </rPr>
      <t xml:space="preserve">3 </t>
    </r>
  </si>
  <si>
    <t>Intervalo de Medición</t>
  </si>
  <si>
    <t>A</t>
  </si>
  <si>
    <r>
      <t>in</t>
    </r>
    <r>
      <rPr>
        <vertAlign val="superscript"/>
        <sz val="14"/>
        <color theme="1"/>
        <rFont val="Arial"/>
        <family val="2"/>
      </rPr>
      <t>3</t>
    </r>
  </si>
  <si>
    <t>Volumen Indicado Vsp</t>
  </si>
  <si>
    <t>Capacidad nominal probeta patron</t>
  </si>
  <si>
    <t xml:space="preserve"> Capacidad según certificado       </t>
  </si>
  <si>
    <t>V Min Indicado probeta patron     (N)</t>
  </si>
  <si>
    <t>Interpolación VMin Indicacado probeta patrón</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</si>
  <si>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</si>
  <si>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</si>
  <si>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</si>
  <si>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</si>
  <si>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</si>
  <si>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</si>
  <si>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r>
      <t xml:space="preserve">Corrección </t>
    </r>
    <r>
      <rPr>
        <b/>
        <sz val="7"/>
        <color theme="1"/>
        <rFont val="Arial"/>
        <family val="2"/>
      </rPr>
      <t>(Según Certificado) mL</t>
    </r>
  </si>
  <si>
    <t>Incertidumbre del Certificado mL</t>
  </si>
  <si>
    <r>
      <t xml:space="preserve">                      DATOS PROBETA PATRON                      (V</t>
    </r>
    <r>
      <rPr>
        <b/>
        <vertAlign val="subscript"/>
        <sz val="14"/>
        <color theme="0"/>
        <rFont val="Arial"/>
        <family val="2"/>
      </rPr>
      <t>sp</t>
    </r>
    <r>
      <rPr>
        <b/>
        <sz val="14"/>
        <color theme="0"/>
        <rFont val="Arial"/>
        <family val="2"/>
      </rPr>
      <t>) (mL)</t>
    </r>
  </si>
  <si>
    <t xml:space="preserve"> Director Tecnico y/o Sust SGL</t>
  </si>
  <si>
    <t>Responsable del Sistema de Gestión y/o Sust Dir Tecnico</t>
  </si>
  <si>
    <t>AV</t>
  </si>
  <si>
    <t>LH</t>
  </si>
  <si>
    <t>PV</t>
  </si>
  <si>
    <t>EA</t>
  </si>
  <si>
    <t>Información Inicial</t>
  </si>
  <si>
    <t>Fecha de ingreso al Laboratorio</t>
  </si>
  <si>
    <t xml:space="preserve"> Recipientes Calibrados  en  los  Laboratorios  SIC - (RVC)</t>
  </si>
  <si>
    <t>N °  Certificado Adherido</t>
  </si>
  <si>
    <t>Equipos Patrón</t>
  </si>
  <si>
    <t>Termometro utilizado en el liquido del RVC</t>
  </si>
  <si>
    <t>Termometro utilizado en el liquido del RVP</t>
  </si>
  <si>
    <t>V-003    Punto 1</t>
  </si>
  <si>
    <t>V-003    Punto 2</t>
  </si>
  <si>
    <t>V-003    Punto 3</t>
  </si>
  <si>
    <t>V-004   Punto 1</t>
  </si>
  <si>
    <t>V-004   Punto 2</t>
  </si>
  <si>
    <t>V-004   Punto 3</t>
  </si>
  <si>
    <t xml:space="preserve">  V-002   °C</t>
  </si>
  <si>
    <t xml:space="preserve">  V-002   rH%</t>
  </si>
  <si>
    <t xml:space="preserve">  V-002   hPa</t>
  </si>
  <si>
    <t>M-012   °C</t>
  </si>
  <si>
    <t>M-013   °C</t>
  </si>
  <si>
    <t>M-010   °C</t>
  </si>
  <si>
    <t>M-011   °C</t>
  </si>
  <si>
    <t>M-012   rH%</t>
  </si>
  <si>
    <t>M-013   rH%</t>
  </si>
  <si>
    <t>M-010   rH%</t>
  </si>
  <si>
    <t>M-011   rH%</t>
  </si>
  <si>
    <t>M-012   hPa</t>
  </si>
  <si>
    <t>M-013   hPa</t>
  </si>
  <si>
    <t>M-010   hPa</t>
  </si>
  <si>
    <t>M-011   hPa</t>
  </si>
  <si>
    <t>V-13 Punto 20</t>
  </si>
  <si>
    <t>V-13 Punto 50</t>
  </si>
  <si>
    <t>V-13 Punto 100</t>
  </si>
  <si>
    <t>V-13 Punto 150</t>
  </si>
  <si>
    <t>V-13 Punto 200</t>
  </si>
  <si>
    <t>Metrologo de Volumen y/o Sust Masa</t>
  </si>
  <si>
    <t>Metrologo de Masa y/o Sust Volumen</t>
  </si>
  <si>
    <t>CMC</t>
  </si>
  <si>
    <t>DATOS</t>
  </si>
  <si>
    <t>14-92812</t>
  </si>
  <si>
    <t xml:space="preserve">16-5935702             </t>
  </si>
  <si>
    <t>Unidades en    " mL"</t>
  </si>
  <si>
    <t>INM 2550</t>
  </si>
  <si>
    <t>INM 2549</t>
  </si>
  <si>
    <t>INM  1995</t>
  </si>
  <si>
    <t>INM  1998</t>
  </si>
  <si>
    <t>INM  2149</t>
  </si>
  <si>
    <t>VANSOLIX S.A. CAT-144-16</t>
  </si>
  <si>
    <t>VANSOLIX S.A. CAH-060-16</t>
  </si>
  <si>
    <t>CDT DEL GAS CERT-16-EMP-              1056-2567</t>
  </si>
  <si>
    <t>VANSOLIX S.A. CAT-145-16</t>
  </si>
  <si>
    <t>VANSOLIX S.A. CAH-061-16</t>
  </si>
  <si>
    <t>CDT DEL GAS CERT-16-EMP-              1057-2567</t>
  </si>
  <si>
    <t>INM  1996</t>
  </si>
  <si>
    <t>INM  1999</t>
  </si>
  <si>
    <t>INM 2148</t>
  </si>
  <si>
    <t>INM  1994</t>
  </si>
  <si>
    <t>INM  1997</t>
  </si>
  <si>
    <t>INM  2147</t>
  </si>
  <si>
    <t>INM 1833</t>
  </si>
  <si>
    <t>INM 1832</t>
  </si>
  <si>
    <t>INM 1831</t>
  </si>
  <si>
    <t>INM 2990</t>
  </si>
  <si>
    <t>INM 2981</t>
  </si>
  <si>
    <t>INM 2985</t>
  </si>
  <si>
    <t xml:space="preserve">MLP - 01          </t>
  </si>
  <si>
    <t>INM 2952</t>
  </si>
  <si>
    <t>INM 2953</t>
  </si>
  <si>
    <t>INM 2964</t>
  </si>
  <si>
    <t>SIGMA No. 33295</t>
  </si>
  <si>
    <t>SIGMA No. 33291</t>
  </si>
  <si>
    <t>CMK-TFA-17096</t>
  </si>
  <si>
    <t>V-13 Punto 5</t>
  </si>
  <si>
    <t>V-13 Punto 70</t>
  </si>
  <si>
    <t>INM  3179</t>
  </si>
  <si>
    <t>INM   3176</t>
  </si>
  <si>
    <t>N/A</t>
  </si>
  <si>
    <t>Capacidad Nominal en      ( gal )</t>
  </si>
  <si>
    <t>Los certificados de calibración sin firmas y sello no son válidos.</t>
  </si>
  <si>
    <t>Precinto #</t>
  </si>
  <si>
    <t>3.   CODIGO INTERNO</t>
  </si>
  <si>
    <t xml:space="preserve">Temperatura </t>
  </si>
  <si>
    <t>En el presente informe se usa la coma “,” como separador decimal.</t>
  </si>
  <si>
    <t>xxxxxx</t>
  </si>
  <si>
    <t>%</t>
  </si>
  <si>
    <r>
      <t>División mínima promedio de escala en pulgadas (in</t>
    </r>
    <r>
      <rPr>
        <vertAlign val="superscript"/>
        <sz val="12"/>
        <color theme="1"/>
        <rFont val="Arial Narrow"/>
        <family val="2"/>
      </rPr>
      <t>3</t>
    </r>
    <r>
      <rPr>
        <sz val="12"/>
        <color theme="1"/>
        <rFont val="Arial Narrow"/>
        <family val="2"/>
      </rPr>
      <t xml:space="preserve">) y (%): </t>
    </r>
    <r>
      <rPr>
        <b/>
        <sz val="12"/>
        <color theme="1"/>
        <rFont val="Arial Narrow"/>
        <family val="2"/>
      </rPr>
      <t xml:space="preserve"> </t>
    </r>
  </si>
  <si>
    <r>
      <t>in</t>
    </r>
    <r>
      <rPr>
        <vertAlign val="superscript"/>
        <sz val="12"/>
        <color theme="0"/>
        <rFont val="Arial Narrow"/>
        <family val="2"/>
      </rPr>
      <t>3</t>
    </r>
  </si>
  <si>
    <t>Metálico</t>
  </si>
  <si>
    <r>
      <t>Intervalo de la escala RV en  ±10 in</t>
    </r>
    <r>
      <rPr>
        <b/>
        <vertAlign val="superscript"/>
        <sz val="10"/>
        <rFont val="Arial"/>
        <family val="2"/>
      </rPr>
      <t>3</t>
    </r>
  </si>
  <si>
    <r>
      <t xml:space="preserve">Division de Escala  in </t>
    </r>
    <r>
      <rPr>
        <vertAlign val="superscript"/>
        <sz val="10"/>
        <rFont val="Arial"/>
        <family val="2"/>
      </rPr>
      <t>3</t>
    </r>
  </si>
  <si>
    <r>
      <t>in</t>
    </r>
    <r>
      <rPr>
        <vertAlign val="superscript"/>
        <sz val="12"/>
        <rFont val="Arial"/>
        <family val="2"/>
      </rPr>
      <t>3</t>
    </r>
  </si>
  <si>
    <r>
      <t>0,25 in</t>
    </r>
    <r>
      <rPr>
        <vertAlign val="superscript"/>
        <sz val="10"/>
        <rFont val="Arial"/>
        <family val="2"/>
      </rPr>
      <t>3</t>
    </r>
  </si>
  <si>
    <r>
      <t>0,5 in</t>
    </r>
    <r>
      <rPr>
        <vertAlign val="superscript"/>
        <sz val="10"/>
        <rFont val="Arial"/>
        <family val="2"/>
      </rPr>
      <t>3</t>
    </r>
  </si>
  <si>
    <r>
      <t>in</t>
    </r>
    <r>
      <rPr>
        <b/>
        <vertAlign val="superscript"/>
        <sz val="10"/>
        <rFont val="Arial"/>
        <family val="2"/>
      </rPr>
      <t>3</t>
    </r>
  </si>
  <si>
    <r>
      <t>1 in</t>
    </r>
    <r>
      <rPr>
        <vertAlign val="superscript"/>
        <sz val="10"/>
        <rFont val="Arial"/>
        <family val="2"/>
      </rPr>
      <t>3</t>
    </r>
  </si>
  <si>
    <r>
      <t xml:space="preserve">Unidades en   " °C ,  rH%  </t>
    </r>
    <r>
      <rPr>
        <i/>
        <sz val="10"/>
        <rFont val="Arial"/>
        <family val="2"/>
      </rPr>
      <t>y</t>
    </r>
    <r>
      <rPr>
        <b/>
        <i/>
        <sz val="10"/>
        <rFont val="Arial"/>
        <family val="2"/>
      </rPr>
      <t xml:space="preserve"> hPa " </t>
    </r>
    <r>
      <rPr>
        <sz val="10"/>
        <rFont val="Arial"/>
        <family val="2"/>
      </rPr>
      <t xml:space="preserve"> según corresponda</t>
    </r>
  </si>
  <si>
    <t>ARAGAC</t>
  </si>
  <si>
    <t>ARAGAC AUDITORIA</t>
  </si>
  <si>
    <t>Acero Inoxidable</t>
  </si>
  <si>
    <t>Buena</t>
  </si>
  <si>
    <t>Tubo</t>
  </si>
  <si>
    <r>
      <t>in</t>
    </r>
    <r>
      <rPr>
        <vertAlign val="superscript"/>
        <sz val="12"/>
        <rFont val="Arial Narrow"/>
        <family val="2"/>
      </rPr>
      <t>3</t>
    </r>
  </si>
  <si>
    <t>n</t>
  </si>
  <si>
    <t>Corrección por temperatura en el liquído RVP</t>
  </si>
  <si>
    <t>Temperatura liquido Corrección °C</t>
  </si>
  <si>
    <t>Corrección por temperatura en el liquído RVC</t>
  </si>
  <si>
    <t>Temperatura liquido Corregida °C</t>
  </si>
  <si>
    <r>
      <t xml:space="preserve">Se le </t>
    </r>
    <r>
      <rPr>
        <sz val="11"/>
        <color rgb="FFFF0000"/>
        <rFont val="Arial Narrow"/>
        <family val="2"/>
      </rPr>
      <t>instala</t>
    </r>
    <r>
      <rPr>
        <sz val="11"/>
        <color theme="1"/>
        <rFont val="Arial Narrow"/>
        <family val="2"/>
      </rPr>
      <t xml:space="preserve"> al recipiente un precinto de seguridad sobre la escala de medición </t>
    </r>
    <r>
      <rPr>
        <sz val="11"/>
        <color rgb="FFFF0000"/>
        <rFont val="Arial Narrow"/>
        <family val="2"/>
      </rPr>
      <t>con</t>
    </r>
    <r>
      <rPr>
        <sz val="11"/>
        <color theme="1"/>
        <rFont val="Arial Narrow"/>
        <family val="2"/>
      </rPr>
      <t xml:space="preserve">  número:</t>
    </r>
  </si>
  <si>
    <r>
      <t xml:space="preserve">Se le </t>
    </r>
    <r>
      <rPr>
        <sz val="12"/>
        <color rgb="FFFF0000"/>
        <rFont val="Arial Narrow"/>
        <family val="2"/>
      </rPr>
      <t>instalo</t>
    </r>
    <r>
      <rPr>
        <sz val="12"/>
        <color theme="1"/>
        <rFont val="Arial Narrow"/>
        <family val="2"/>
      </rPr>
      <t xml:space="preserve"> al recipiente una estampilla de calibración con el número de este certificado</t>
    </r>
  </si>
  <si>
    <t>La incertidumbre expandida con que se determinaron los errores, fueron estimadas con un nivel de confianza de 95 % aproximadamente y esta fue multiplicada por el factor de cubrimiento  2,0.</t>
  </si>
  <si>
    <t>Este certificado de calibración no puede ser reproducido parcial ni totalmente, excepto con autorización  del laboratorio de la SIC.</t>
  </si>
  <si>
    <t xml:space="preserve"> Los certificados de calibración sin firmas y sello no son válidos.</t>
  </si>
  <si>
    <r>
      <t>En la calibración del recipiente volumétrico bajo prueba descrito en el procedimiento RT03-P04</t>
    </r>
    <r>
      <rPr>
        <sz val="12"/>
        <color rgb="FFFF0000"/>
        <rFont val="Arial Narrow"/>
        <family val="2"/>
      </rPr>
      <t xml:space="preserve"> Versión 01 siguiendo los lineamientos de </t>
    </r>
    <r>
      <rPr>
        <sz val="12"/>
        <color theme="1"/>
        <rFont val="Arial Narrow"/>
        <family val="2"/>
      </rPr>
      <t>la  guía  Euramet  cg-21</t>
    </r>
    <r>
      <rPr>
        <sz val="12"/>
        <color rgb="FFFF0000"/>
        <rFont val="Arial Narrow"/>
        <family val="2"/>
      </rPr>
      <t xml:space="preserve"> Versión 1.0 (04/2013</t>
    </r>
    <r>
      <rPr>
        <sz val="12"/>
        <color theme="1"/>
        <rFont val="Arial Narrow"/>
        <family val="2"/>
      </rPr>
      <t>), consistente  en  el  método por comparación directa, el cual consiste en que el volumen  de  agua  medido por  el  patrón  es comparado por el  volumen  de  agua  medido   en el   instrumento  bajo  prueba.</t>
    </r>
  </si>
  <si>
    <r>
      <t>Este certificado de calibración documenta la trazabilidad de los patrones</t>
    </r>
    <r>
      <rPr>
        <sz val="10"/>
        <color rgb="FFFF0000"/>
        <rFont val="Arial"/>
        <family val="2"/>
      </rPr>
      <t xml:space="preserve"> empleados conforme  al Sistema Internacional de Unidades (SI).</t>
    </r>
  </si>
  <si>
    <t xml:space="preserve"> xxxxxxxxxx:</t>
  </si>
  <si>
    <t xml:space="preserve">Este certificado de calibración no puede ser reproducido parcial ni totalmente,  excepto  con  autorización  del  laboratorio  de la SIC.   </t>
  </si>
  <si>
    <t>HOJA DE CÁLCULO PARA CALIBRACIÓN DE RECIPIENTES VOLUMÉTRICOS DESPUES DE AJUSTE</t>
  </si>
  <si>
    <t>HOJA DE CÁLCULO PARA CALIBRACIÓN DE RECIPIENTES VOLUMÉTRICOS</t>
  </si>
  <si>
    <t>°C-1</t>
  </si>
  <si>
    <t>No tiene</t>
  </si>
  <si>
    <r>
      <t>mL°C</t>
    </r>
    <r>
      <rPr>
        <b/>
        <i/>
        <vertAlign val="superscript"/>
        <sz val="12"/>
        <color rgb="FFFF0000"/>
        <rFont val="Arial"/>
        <family val="2"/>
      </rPr>
      <t>-1</t>
    </r>
  </si>
  <si>
    <t>mL°C</t>
  </si>
  <si>
    <t>y = -0,0013x + 0,0055</t>
  </si>
  <si>
    <t>y = -0,0015x - 0,029</t>
  </si>
  <si>
    <r>
      <t>°C</t>
    </r>
    <r>
      <rPr>
        <b/>
        <i/>
        <vertAlign val="superscript"/>
        <sz val="10"/>
        <rFont val="Arial"/>
        <family val="2"/>
      </rPr>
      <t>-1</t>
    </r>
  </si>
  <si>
    <r>
      <t>mL°C</t>
    </r>
    <r>
      <rPr>
        <b/>
        <i/>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</si>
</sst>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00000"/>
    <numFmt numFmtId="165" formatCode="0.0000"/>
    <numFmt numFmtId="166" formatCode="0.000"/>
    <numFmt numFmtId="167" formatCode="0.0"/>
    <numFmt numFmtId="168" formatCode="0.000E+00"/>
    <numFmt numFmtId="169" formatCode="0.000000"/>
    <numFmt numFmtId="170" formatCode="yyyy\-mm\-dd;@"/>
    <numFmt numFmtId="171" formatCode="0.000000000"/>
    <numFmt numFmtId="172" formatCode="0.00000000"/>
    <numFmt numFmtId="173" formatCode="0.0000000"/>
    <numFmt numFmtId="174" formatCode="0.0000000000"/>
    <numFmt numFmtId="175" formatCode="hh:mm:ss;@"/>
    <numFmt numFmtId="176" formatCode="0.0000E+00"/>
    <numFmt numFmtId="177" formatCode="0.0_ \ &quot;%rH&quot;"/>
    <numFmt numFmtId="178" formatCode="0.0_ \ &quot;hPa&quot;"/>
    <numFmt numFmtId="179" formatCode="0.0_ \ &quot;°C&quot;"/>
    <numFmt numFmtId="180" formatCode="0\ &quot;°C&quot;"/>
    <numFmt numFmtId="181" formatCode="&quot; K=&quot;0.00"/>
  </numFmts>
  <fonts count="108"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sz val="14"/>
      <color theme="1"/>
      <name val="Arial"/>
      <family val="2"/>
    </font>
    <font>
      <b/>
      <sz val="12"/>
      <color rgb="FF000000"/>
      <name val="Arial"/>
      <family val="2"/>
    </font>
    <font>
      <b/>
      <sz val="10"/>
      <color theme="1"/>
      <name val="Arial"/>
      <family val="2"/>
    </font>
    <font>
      <b/>
      <sz val="10"/>
      <color rgb="FF000000"/>
      <name val="Arial"/>
      <family val="2"/>
    </font>
    <font>
      <sz val="12"/>
      <color theme="1"/>
      <name val="Arial Narrow"/>
      <family val="2"/>
    </font>
    <font>
      <b/>
      <sz val="12"/>
      <color theme="1"/>
      <name val="Arial Narrow"/>
      <family val="2"/>
    </font>
    <font>
      <i/>
      <sz val="12"/>
      <color theme="1"/>
      <name val="Arial Narrow"/>
      <family val="2"/>
    </font>
    <font>
      <vertAlign val="superscript"/>
      <sz val="12"/>
      <color theme="1"/>
      <name val="Arial Narrow"/>
      <family val="2"/>
    </font>
    <font>
      <b/>
      <sz val="9"/>
      <color theme="1"/>
      <name val="Arial Narrow"/>
      <family val="2"/>
    </font>
    <font>
      <sz val="14"/>
      <name val="Arial"/>
      <family val="2"/>
    </font>
    <font>
      <vertAlign val="subscript"/>
      <sz val="16"/>
      <color theme="1"/>
      <name val="Arial"/>
      <family val="2"/>
    </font>
    <font>
      <sz val="16"/>
      <color theme="1"/>
      <name val="Arial"/>
      <family val="2"/>
    </font>
    <font>
      <vertAlign val="superscript"/>
      <sz val="18"/>
      <color theme="1"/>
      <name val="Arial"/>
      <family val="2"/>
    </font>
    <font>
      <sz val="12"/>
      <color rgb="FF006100"/>
      <name val="Tahoma"/>
      <family val="2"/>
    </font>
    <font>
      <b/>
      <sz val="9"/>
      <color indexed="81"/>
      <name val="Tahoma"/>
      <family val="2"/>
    </font>
    <font>
      <sz val="9"/>
      <color indexed="81"/>
      <name val="Tahoma"/>
      <family val="2"/>
    </font>
    <font>
      <b/>
      <sz val="11"/>
      <color theme="1"/>
      <name val="Arial Narrow"/>
      <family val="2"/>
    </font>
    <font>
      <b/>
      <sz val="18"/>
      <name val="Arial"/>
      <family val="2"/>
    </font>
    <font>
      <b/>
      <sz val="12"/>
      <color theme="0"/>
      <name val="Arial"/>
      <family val="2"/>
    </font>
    <font>
      <b/>
      <sz val="12"/>
      <name val="Arial"/>
      <family val="2"/>
    </font>
    <font>
      <i/>
      <sz val="12"/>
      <color theme="1"/>
      <name val="Arial"/>
      <family val="2"/>
    </font>
    <font>
      <b/>
      <sz val="10"/>
      <name val="Arial"/>
      <family val="2"/>
    </font>
    <font>
      <b/>
      <sz val="10"/>
      <color theme="0"/>
      <name val="Arial"/>
      <family val="2"/>
    </font>
    <font>
      <sz val="10"/>
      <color theme="1"/>
      <name val="Arial"/>
      <family val="2"/>
    </font>
    <font>
      <b/>
      <vertAlign val="subscript"/>
      <sz val="12"/>
      <color theme="1"/>
      <name val="Arial"/>
      <family val="2"/>
    </font>
    <font>
      <b/>
      <sz val="20"/>
      <color theme="0"/>
      <name val="Arial"/>
      <family val="2"/>
    </font>
    <font>
      <b/>
      <sz val="14"/>
      <color theme="0"/>
      <name val="Arial"/>
      <family val="2"/>
    </font>
    <font>
      <b/>
      <sz val="9"/>
      <color theme="1"/>
      <name val="Arial"/>
      <family val="2"/>
    </font>
    <font>
      <b/>
      <sz val="8"/>
      <color theme="1"/>
      <name val="Arial"/>
      <family val="2"/>
    </font>
    <font>
      <b/>
      <sz val="14"/>
      <color rgb="FF000000"/>
      <name val="Arial"/>
      <family val="2"/>
    </font>
    <font>
      <b/>
      <vertAlign val="superscript"/>
      <sz val="14"/>
      <color rgb="FF000000"/>
      <name val="Arial"/>
      <family val="2"/>
    </font>
    <font>
      <u/>
      <sz val="10"/>
      <color theme="1"/>
      <name val="Arial"/>
      <family val="2"/>
    </font>
    <font>
      <b/>
      <vertAlign val="superscript"/>
      <sz val="10"/>
      <color theme="1"/>
      <name val="Arial"/>
      <family val="2"/>
    </font>
    <font>
      <b/>
      <sz val="11"/>
      <color theme="1"/>
      <name val="Arial"/>
      <family val="2"/>
    </font>
    <font>
      <i/>
      <vertAlign val="subscript"/>
      <sz val="12"/>
      <color theme="1"/>
      <name val="Arial"/>
      <family val="2"/>
    </font>
    <font>
      <vertAlign val="subscript"/>
      <sz val="12"/>
      <color theme="1"/>
      <name val="Arial"/>
      <family val="2"/>
    </font>
    <font>
      <vertAlign val="superscript"/>
      <sz val="10"/>
      <color theme="1"/>
      <name val="Arial"/>
      <family val="2"/>
    </font>
    <font>
      <vertAlign val="superscript"/>
      <sz val="14"/>
      <color theme="1"/>
      <name val="Arial"/>
      <family val="2"/>
    </font>
    <font>
      <b/>
      <sz val="11"/>
      <color theme="0"/>
      <name val="Arial"/>
      <family val="2"/>
    </font>
    <font>
      <b/>
      <i/>
      <sz val="11"/>
      <color theme="0"/>
      <name val="Arial"/>
      <family val="2"/>
    </font>
    <font>
      <sz val="10"/>
      <color theme="0"/>
      <name val="Arial"/>
      <family val="2"/>
    </font>
    <font>
      <sz val="11"/>
      <color theme="0"/>
      <name val="Arial"/>
      <family val="2"/>
    </font>
    <font>
      <sz val="10"/>
      <name val="Arial"/>
      <family val="2"/>
    </font>
    <font>
      <b/>
      <i/>
      <sz val="12"/>
      <color theme="1"/>
      <name val="Arial"/>
      <family val="2"/>
    </font>
    <font>
      <b/>
      <i/>
      <vertAlign val="subscript"/>
      <sz val="12"/>
      <color theme="1"/>
      <name val="Arial"/>
      <family val="2"/>
    </font>
    <font>
      <b/>
      <sz val="8"/>
      <color theme="0"/>
      <name val="Arial"/>
      <family val="2"/>
    </font>
    <font>
      <vertAlign val="superscript"/>
      <sz val="10"/>
      <name val="Arial"/>
      <family val="2"/>
    </font>
    <font>
      <sz val="9"/>
      <color theme="1"/>
      <name val="Arial"/>
      <family val="2"/>
    </font>
    <font>
      <b/>
      <sz val="16"/>
      <color theme="0"/>
      <name val="Arial"/>
      <family val="2"/>
    </font>
    <font>
      <b/>
      <sz val="16"/>
      <color theme="1"/>
      <name val="Arial"/>
      <family val="2"/>
    </font>
    <font>
      <sz val="16"/>
      <name val="Arial"/>
      <family val="2"/>
    </font>
    <font>
      <sz val="18"/>
      <name val="Arial"/>
      <family val="2"/>
    </font>
    <font>
      <b/>
      <sz val="7"/>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b/>
      <vertAlign val="superscript"/>
      <sz val="14"/>
      <color rgb="FFFFFFFF"/>
      <name val="Arial"/>
      <family val="2"/>
    </font>
    <font>
      <sz val="14"/>
      <color rgb="FFFFFFFF"/>
      <name val="Arial"/>
      <family val="2"/>
    </font>
    <font>
      <sz val="14"/>
      <color theme="0"/>
      <name val="Arial"/>
      <family val="2"/>
    </font>
    <font>
      <sz val="11"/>
      <color theme="1"/>
      <name val="Arial Narrow"/>
      <family val="2"/>
    </font>
    <font>
      <b/>
      <i/>
      <sz val="11"/>
      <color theme="1"/>
      <name val="Arial"/>
      <family val="2"/>
    </font>
    <font>
      <i/>
      <sz val="11"/>
      <color theme="1"/>
      <name val="Arial"/>
      <family val="2"/>
    </font>
    <font>
      <sz val="12"/>
      <name val="Arial Narrow"/>
      <family val="2"/>
    </font>
    <font>
      <sz val="12"/>
      <color theme="0"/>
      <name val="Arial Narrow"/>
      <family val="2"/>
    </font>
    <font>
      <sz val="8"/>
      <color theme="1"/>
      <name val="Arial"/>
      <family val="2"/>
    </font>
    <font>
      <b/>
      <sz val="12"/>
      <name val="Arial Narrow"/>
      <family val="2"/>
    </font>
    <font>
      <sz val="11"/>
      <color theme="1"/>
      <name val="Calibri"/>
      <family val="2"/>
      <scheme val="minor"/>
    </font>
    <font>
      <sz val="12"/>
      <color rgb="FFFF0000"/>
      <name val="Arial Narrow"/>
      <family val="2"/>
    </font>
    <font>
      <sz val="18"/>
      <color theme="1"/>
      <name val="Arial"/>
      <family val="2"/>
    </font>
    <font>
      <sz val="12"/>
      <color rgb="FF000000"/>
      <name val="Arial"/>
      <family val="2"/>
    </font>
    <font>
      <vertAlign val="superscript"/>
      <sz val="12"/>
      <color theme="0"/>
      <name val="Arial Narrow"/>
      <family val="2"/>
    </font>
    <font>
      <b/>
      <sz val="12"/>
      <color theme="0"/>
      <name val="Arial Narrow"/>
      <family val="2"/>
    </font>
    <font>
      <sz val="12"/>
      <name val="Arial"/>
      <family val="2"/>
    </font>
    <font>
      <b/>
      <sz val="14"/>
      <name val="Arial"/>
      <family val="2"/>
    </font>
    <font>
      <b/>
      <vertAlign val="superscript"/>
      <sz val="10"/>
      <name val="Arial"/>
      <family val="2"/>
    </font>
    <font>
      <vertAlign val="superscript"/>
      <sz val="12"/>
      <name val="Arial"/>
      <family val="2"/>
    </font>
    <font>
      <b/>
      <i/>
      <sz val="10"/>
      <name val="Arial"/>
      <family val="2"/>
    </font>
    <font>
      <i/>
      <sz val="10"/>
      <name val="Arial"/>
      <family val="2"/>
    </font>
    <font>
      <sz val="8"/>
      <name val="Arial"/>
      <family val="2"/>
    </font>
    <font>
      <sz val="11"/>
      <name val="Arial Narrow"/>
      <family val="2"/>
    </font>
    <font>
      <vertAlign val="superscript"/>
      <sz val="12"/>
      <name val="Arial Narrow"/>
      <family val="2"/>
    </font>
    <font>
      <sz val="12"/>
      <color rgb="FF595959"/>
      <name val="Calibri"/>
      <family val="2"/>
      <scheme val="minor"/>
    </font>
    <font>
      <sz val="14"/>
      <color rgb="FF595959"/>
      <name val="Calibri"/>
      <family val="2"/>
      <scheme val="minor"/>
    </font>
    <font>
      <sz val="11"/>
      <color rgb="FFFF0000"/>
      <name val="Arial Narrow"/>
      <family val="2"/>
    </font>
    <font>
      <sz val="10"/>
      <name val="Arial Narrow"/>
      <family val="2"/>
    </font>
    <font>
      <sz val="10"/>
      <color rgb="FFFF0000"/>
      <name val="Arial"/>
      <family val="2"/>
    </font>
    <font>
      <sz val="11"/>
      <color theme="0"/>
      <name val="Arial Narrow"/>
      <family val="2"/>
    </font>
    <font>
      <sz val="12"/>
      <color rgb="FFFF0000"/>
      <name val="Arial"/>
      <family val="2"/>
    </font>
    <font>
      <b/>
      <i/>
      <sz val="12"/>
      <color rgb="FFFF0000"/>
      <name val="Arial"/>
      <family val="2"/>
    </font>
    <font>
      <b/>
      <i/>
      <vertAlign val="superscript"/>
      <sz val="12"/>
      <color rgb="FFFF0000"/>
      <name val="Arial"/>
      <family val="2"/>
    </font>
    <font>
      <sz val="12"/>
      <color theme="0"/>
      <name val="Arial"/>
      <family val="2"/>
    </font>
    <font>
      <b/>
      <i/>
      <sz val="16"/>
      <color theme="0"/>
      <name val="Arial Narrow"/>
      <family val="2"/>
    </font>
    <font>
      <b/>
      <i/>
      <sz val="10"/>
      <color theme="1"/>
      <name val="Arial"/>
      <family val="2"/>
    </font>
    <font>
      <b/>
      <i/>
      <vertAlign val="superscript"/>
      <sz val="10"/>
      <name val="Arial"/>
      <family val="2"/>
    </font>
    <font>
      <i/>
      <sz val="12"/>
      <name val="Arial"/>
      <family val="2"/>
    </font>
    <font>
      <b/>
      <i/>
      <sz val="8"/>
      <color theme="1"/>
      <name val="Arial"/>
      <family val="2"/>
    </font>
    <font>
      <i/>
      <sz val="10"/>
      <color theme="1"/>
      <name val="Arial"/>
      <family val="2"/>
    </font>
    <font>
      <b/>
      <i/>
      <sz val="12"/>
      <name val="Arial"/>
      <family val="2"/>
    </font>
    <font>
      <b/>
      <i/>
      <vertAlign val="superscript"/>
      <sz val="12"/>
      <name val="Arial"/>
      <family val="2"/>
    </font>
  </fonts>
  <fills count="3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theme="7" tint="0.39997558519241921"/>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5FF3CB"/>
        <bgColor indexed="64"/>
      </patternFill>
    </fill>
    <fill>
      <patternFill patternType="solid">
        <fgColor theme="0"/>
        <bgColor auto="1"/>
      </patternFill>
    </fill>
    <fill>
      <patternFill patternType="solid">
        <fgColor theme="0" tint="-4.9989318521683403E-2"/>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diagonalUp="1" diagonalDown="1">
      <left style="thin">
        <color indexed="64"/>
      </left>
      <right style="medium">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top style="medium">
        <color indexed="64"/>
      </top>
      <bottom style="medium">
        <color indexed="64"/>
      </bottom>
      <diagonal style="medium">
        <color indexed="64"/>
      </diagonal>
    </border>
  </borders>
  <cellStyleXfs count="9">
    <xf numFmtId="0" fontId="0" fillId="0" borderId="0"/>
    <xf numFmtId="0" fontId="18" fillId="11" borderId="0" applyNumberFormat="0" applyBorder="0" applyAlignment="0" applyProtection="0"/>
    <xf numFmtId="0" fontId="28" fillId="23" borderId="8">
      <alignment horizontal="center" vertical="center" wrapText="1"/>
    </xf>
    <xf numFmtId="0" fontId="28" fillId="15" borderId="8">
      <alignment horizontal="center" vertical="center" wrapText="1"/>
    </xf>
    <xf numFmtId="0" fontId="28" fillId="24" borderId="8">
      <alignment horizontal="center" vertical="center" wrapText="1"/>
    </xf>
    <xf numFmtId="0" fontId="9" fillId="2" borderId="0">
      <alignment horizontal="center"/>
    </xf>
    <xf numFmtId="0" fontId="9" fillId="25" borderId="0">
      <alignment horizontal="center"/>
    </xf>
    <xf numFmtId="0" fontId="28" fillId="10" borderId="9">
      <alignment horizontal="center"/>
    </xf>
    <xf numFmtId="9" fontId="75" fillId="0" borderId="0" applyFont="0" applyFill="0" applyBorder="0" applyAlignment="0" applyProtection="0"/>
  </cellStyleXfs>
  <cellXfs count="1528">
    <xf numFmtId="0" fontId="0" fillId="0" borderId="0" xfId="0"/>
    <xf numFmtId="0" fontId="9" fillId="0" borderId="0" xfId="0" applyFont="1"/>
    <xf numFmtId="0" fontId="9" fillId="0" borderId="0" xfId="0" applyFont="1" applyBorder="1" applyAlignment="1"/>
    <xf numFmtId="0" fontId="10" fillId="0" borderId="0" xfId="0" applyFont="1" applyAlignment="1"/>
    <xf numFmtId="0" fontId="9" fillId="0" borderId="0" xfId="0" applyFont="1" applyAlignment="1"/>
    <xf numFmtId="14" fontId="9" fillId="0" borderId="0" xfId="0" applyNumberFormat="1" applyFont="1" applyAlignment="1">
      <alignment vertical="center" wrapText="1"/>
    </xf>
    <xf numFmtId="0" fontId="10"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horizontal="justify" vertical="justify" wrapText="1"/>
    </xf>
    <xf numFmtId="0" fontId="9" fillId="0" borderId="0" xfId="0" applyFont="1" applyAlignment="1">
      <alignment horizontal="center" vertical="center" wrapText="1"/>
    </xf>
    <xf numFmtId="0" fontId="28" fillId="2" borderId="7" xfId="0" applyFont="1" applyFill="1" applyBorder="1" applyAlignment="1" applyProtection="1">
      <alignment vertical="center" wrapText="1"/>
      <protection hidden="1"/>
    </xf>
    <xf numFmtId="0" fontId="28" fillId="0" borderId="0" xfId="0" applyFont="1" applyAlignment="1" applyProtection="1">
      <alignment vertical="center" wrapText="1"/>
      <protection hidden="1"/>
    </xf>
    <xf numFmtId="0" fontId="2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wrapText="1"/>
      <protection hidden="1"/>
    </xf>
    <xf numFmtId="0" fontId="30" fillId="0" borderId="0" xfId="0" applyFont="1" applyFill="1" applyBorder="1" applyAlignment="1" applyProtection="1">
      <alignment horizontal="center" vertical="center" wrapText="1"/>
      <protection hidden="1"/>
    </xf>
    <xf numFmtId="0" fontId="28" fillId="0" borderId="0" xfId="0" applyFont="1" applyFill="1" applyAlignment="1" applyProtection="1">
      <alignment vertical="center" wrapText="1"/>
      <protection hidden="1"/>
    </xf>
    <xf numFmtId="0" fontId="28" fillId="2" borderId="0" xfId="0" applyFont="1" applyFill="1" applyAlignment="1" applyProtection="1">
      <alignment vertical="center" wrapText="1"/>
      <protection hidden="1"/>
    </xf>
    <xf numFmtId="0" fontId="28" fillId="2" borderId="0" xfId="0" applyFont="1" applyFill="1" applyBorder="1" applyAlignment="1" applyProtection="1">
      <alignment horizontal="center" vertical="center" wrapText="1"/>
      <protection hidden="1"/>
    </xf>
    <xf numFmtId="0" fontId="28" fillId="0" borderId="0" xfId="0" applyFont="1" applyBorder="1" applyAlignment="1" applyProtection="1">
      <alignment vertical="center" wrapText="1"/>
      <protection hidden="1"/>
    </xf>
    <xf numFmtId="0" fontId="28" fillId="2" borderId="0" xfId="0" applyFont="1" applyFill="1" applyBorder="1" applyAlignment="1" applyProtection="1">
      <alignment vertical="center" wrapText="1"/>
      <protection hidden="1"/>
    </xf>
    <xf numFmtId="0" fontId="36" fillId="2" borderId="0" xfId="0" applyFont="1" applyFill="1" applyBorder="1" applyAlignment="1" applyProtection="1">
      <alignment vertical="center" wrapText="1"/>
      <protection hidden="1"/>
    </xf>
    <xf numFmtId="2" fontId="28" fillId="7" borderId="9" xfId="0" applyNumberFormat="1" applyFont="1" applyFill="1" applyBorder="1" applyAlignment="1" applyProtection="1">
      <alignment horizontal="center" vertical="center" wrapText="1"/>
      <protection hidden="1"/>
    </xf>
    <xf numFmtId="0" fontId="28" fillId="7" borderId="46" xfId="0" applyFont="1" applyFill="1" applyBorder="1" applyAlignment="1" applyProtection="1">
      <alignment horizontal="center" vertical="center" wrapText="1"/>
      <protection hidden="1"/>
    </xf>
    <xf numFmtId="0" fontId="3" fillId="2" borderId="0" xfId="0" applyFont="1" applyFill="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8" fillId="5" borderId="34" xfId="0" applyFont="1" applyFill="1" applyBorder="1" applyAlignment="1" applyProtection="1">
      <alignment horizontal="center" vertical="center" wrapText="1"/>
      <protection hidden="1"/>
    </xf>
    <xf numFmtId="167" fontId="3" fillId="7" borderId="9" xfId="0" applyNumberFormat="1" applyFont="1" applyFill="1" applyBorder="1" applyAlignment="1" applyProtection="1">
      <alignment horizontal="center" vertical="center" wrapText="1"/>
      <protection hidden="1"/>
    </xf>
    <xf numFmtId="0" fontId="3" fillId="0" borderId="0" xfId="0" applyFont="1" applyAlignment="1" applyProtection="1">
      <alignment vertical="center" wrapText="1"/>
      <protection hidden="1"/>
    </xf>
    <xf numFmtId="0" fontId="3" fillId="2" borderId="1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166" fontId="28" fillId="7" borderId="57" xfId="0" applyNumberFormat="1" applyFont="1" applyFill="1" applyBorder="1" applyAlignment="1" applyProtection="1">
      <alignment horizontal="center" vertical="center" wrapText="1"/>
      <protection hidden="1"/>
    </xf>
    <xf numFmtId="0" fontId="16" fillId="2" borderId="0" xfId="0" applyFont="1" applyFill="1" applyBorder="1" applyAlignment="1" applyProtection="1">
      <alignment vertical="center" wrapText="1"/>
      <protection hidden="1"/>
    </xf>
    <xf numFmtId="2" fontId="28" fillId="7" borderId="36" xfId="0" applyNumberFormat="1" applyFont="1" applyFill="1" applyBorder="1" applyAlignment="1" applyProtection="1">
      <alignment horizontal="center" vertical="center" wrapText="1"/>
      <protection hidden="1"/>
    </xf>
    <xf numFmtId="11" fontId="28" fillId="7" borderId="9" xfId="0" applyNumberFormat="1" applyFont="1" applyFill="1" applyBorder="1" applyAlignment="1" applyProtection="1">
      <alignment horizontal="center" vertical="center" wrapText="1"/>
      <protection hidden="1"/>
    </xf>
    <xf numFmtId="0" fontId="23" fillId="9" borderId="49" xfId="0" applyFont="1" applyFill="1" applyBorder="1" applyAlignment="1" applyProtection="1">
      <alignment horizontal="center" vertical="center" wrapText="1"/>
      <protection hidden="1"/>
    </xf>
    <xf numFmtId="11" fontId="28" fillId="5" borderId="48" xfId="0" applyNumberFormat="1" applyFont="1" applyFill="1" applyBorder="1" applyAlignment="1" applyProtection="1">
      <alignment horizontal="center" vertical="center" wrapText="1"/>
      <protection hidden="1"/>
    </xf>
    <xf numFmtId="0" fontId="28" fillId="5" borderId="63" xfId="0" applyFont="1" applyFill="1" applyBorder="1" applyAlignment="1" applyProtection="1">
      <alignment horizontal="center" vertical="center" wrapText="1"/>
      <protection hidden="1"/>
    </xf>
    <xf numFmtId="0" fontId="28" fillId="2" borderId="28" xfId="0" applyFont="1" applyFill="1" applyBorder="1" applyAlignment="1" applyProtection="1">
      <alignment vertical="center" wrapText="1"/>
      <protection hidden="1"/>
    </xf>
    <xf numFmtId="0" fontId="28" fillId="2" borderId="13" xfId="0" applyFont="1" applyFill="1" applyBorder="1" applyAlignment="1" applyProtection="1">
      <alignment vertical="center" wrapText="1"/>
      <protection hidden="1"/>
    </xf>
    <xf numFmtId="0" fontId="28" fillId="2" borderId="14" xfId="0" applyFont="1" applyFill="1" applyBorder="1" applyAlignment="1" applyProtection="1">
      <alignment vertical="center" wrapText="1"/>
      <protection hidden="1"/>
    </xf>
    <xf numFmtId="0" fontId="27" fillId="2" borderId="0" xfId="0" applyFont="1" applyFill="1" applyBorder="1" applyAlignment="1" applyProtection="1">
      <alignment horizontal="center" vertical="center" wrapText="1"/>
      <protection hidden="1"/>
    </xf>
    <xf numFmtId="0" fontId="45" fillId="2" borderId="0" xfId="0" applyFont="1" applyFill="1" applyBorder="1" applyAlignment="1" applyProtection="1">
      <alignment horizontal="center" vertical="center" wrapText="1"/>
      <protection hidden="1"/>
    </xf>
    <xf numFmtId="0" fontId="28" fillId="2" borderId="10" xfId="0" applyFont="1" applyFill="1" applyBorder="1" applyAlignment="1" applyProtection="1">
      <alignment vertical="center" wrapText="1"/>
      <protection hidden="1"/>
    </xf>
    <xf numFmtId="0" fontId="28" fillId="2" borderId="34" xfId="0" applyFont="1" applyFill="1" applyBorder="1" applyAlignment="1" applyProtection="1">
      <alignment vertical="center" wrapText="1"/>
      <protection hidden="1"/>
    </xf>
    <xf numFmtId="0" fontId="28" fillId="2" borderId="9" xfId="0" applyFont="1" applyFill="1" applyBorder="1" applyAlignment="1" applyProtection="1">
      <alignment vertical="center" wrapText="1"/>
      <protection hidden="1"/>
    </xf>
    <xf numFmtId="0" fontId="28" fillId="2" borderId="36" xfId="0" applyFont="1" applyFill="1" applyBorder="1" applyAlignment="1" applyProtection="1">
      <alignment vertical="center" wrapText="1"/>
      <protection hidden="1"/>
    </xf>
    <xf numFmtId="0" fontId="45" fillId="5" borderId="34" xfId="0" applyFont="1" applyFill="1" applyBorder="1" applyAlignment="1" applyProtection="1">
      <alignment horizontal="center" vertical="center" wrapText="1"/>
      <protection hidden="1"/>
    </xf>
    <xf numFmtId="0" fontId="45" fillId="0" borderId="69" xfId="0" applyFont="1" applyFill="1" applyBorder="1" applyAlignment="1" applyProtection="1">
      <alignment horizontal="center" vertical="center" wrapText="1"/>
      <protection hidden="1"/>
    </xf>
    <xf numFmtId="166" fontId="28" fillId="7" borderId="9" xfId="0" applyNumberFormat="1" applyFont="1" applyFill="1" applyBorder="1" applyAlignment="1" applyProtection="1">
      <alignment horizontal="center" vertical="center" wrapText="1"/>
      <protection hidden="1"/>
    </xf>
    <xf numFmtId="0" fontId="45" fillId="0" borderId="70" xfId="0" applyFont="1" applyFill="1" applyBorder="1" applyAlignment="1" applyProtection="1">
      <alignment horizontal="center" vertical="center" wrapText="1"/>
      <protection hidden="1"/>
    </xf>
    <xf numFmtId="166" fontId="28" fillId="7" borderId="36" xfId="0" applyNumberFormat="1" applyFont="1" applyFill="1" applyBorder="1" applyAlignment="1" applyProtection="1">
      <alignment horizontal="center" vertical="center" wrapText="1"/>
      <protection hidden="1"/>
    </xf>
    <xf numFmtId="0" fontId="28" fillId="5" borderId="34" xfId="0" applyFont="1" applyFill="1" applyBorder="1" applyAlignment="1" applyProtection="1">
      <alignment vertical="center" wrapText="1"/>
      <protection hidden="1"/>
    </xf>
    <xf numFmtId="0" fontId="28" fillId="7" borderId="36" xfId="0" applyFont="1" applyFill="1" applyBorder="1" applyAlignment="1" applyProtection="1">
      <alignment horizontal="center" vertical="center" wrapText="1"/>
      <protection hidden="1"/>
    </xf>
    <xf numFmtId="0" fontId="45" fillId="2" borderId="34" xfId="0" applyFont="1" applyFill="1" applyBorder="1" applyAlignment="1" applyProtection="1">
      <alignment horizontal="center" vertical="center" wrapText="1"/>
      <protection hidden="1"/>
    </xf>
    <xf numFmtId="11" fontId="28" fillId="7" borderId="36" xfId="0" applyNumberFormat="1" applyFont="1" applyFill="1" applyBorder="1" applyAlignment="1" applyProtection="1">
      <alignment horizontal="center" vertical="center" wrapText="1"/>
      <protection hidden="1"/>
    </xf>
    <xf numFmtId="0" fontId="45" fillId="5" borderId="45" xfId="0" applyFont="1" applyFill="1" applyBorder="1" applyAlignment="1" applyProtection="1">
      <alignment horizontal="center" vertical="center" wrapText="1"/>
      <protection hidden="1"/>
    </xf>
    <xf numFmtId="0" fontId="28" fillId="7" borderId="39" xfId="0" applyFont="1" applyFill="1" applyBorder="1" applyAlignment="1" applyProtection="1">
      <alignment horizontal="center" vertical="center" wrapText="1"/>
      <protection hidden="1"/>
    </xf>
    <xf numFmtId="0" fontId="45" fillId="2" borderId="0" xfId="0" applyFont="1" applyFill="1" applyBorder="1" applyAlignment="1" applyProtection="1">
      <alignment vertical="center" wrapText="1"/>
      <protection hidden="1"/>
    </xf>
    <xf numFmtId="0" fontId="47" fillId="7" borderId="9" xfId="0" applyFont="1" applyFill="1" applyBorder="1" applyAlignment="1" applyProtection="1">
      <alignment horizontal="center" vertical="center" wrapText="1"/>
      <protection hidden="1"/>
    </xf>
    <xf numFmtId="0" fontId="47" fillId="5" borderId="9" xfId="0" applyFont="1" applyFill="1" applyBorder="1" applyAlignment="1" applyProtection="1">
      <alignment horizontal="center" vertical="center" wrapText="1"/>
      <protection hidden="1"/>
    </xf>
    <xf numFmtId="0" fontId="47" fillId="5" borderId="36" xfId="0" applyFont="1" applyFill="1" applyBorder="1" applyAlignment="1" applyProtection="1">
      <alignment horizontal="center" vertical="center" wrapText="1"/>
      <protection hidden="1"/>
    </xf>
    <xf numFmtId="0" fontId="47" fillId="5" borderId="46" xfId="0" applyFont="1" applyFill="1" applyBorder="1" applyAlignment="1" applyProtection="1">
      <alignment horizontal="center" vertical="center" wrapText="1"/>
      <protection hidden="1"/>
    </xf>
    <xf numFmtId="0" fontId="47" fillId="7" borderId="46" xfId="0" applyFont="1" applyFill="1" applyBorder="1" applyAlignment="1" applyProtection="1">
      <alignment horizontal="center" vertical="center" wrapText="1"/>
      <protection hidden="1"/>
    </xf>
    <xf numFmtId="0" fontId="47" fillId="5" borderId="39" xfId="0"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0" fontId="28" fillId="10" borderId="0" xfId="0" applyFont="1" applyFill="1" applyAlignment="1" applyProtection="1">
      <alignment vertical="center" wrapText="1"/>
      <protection hidden="1"/>
    </xf>
    <xf numFmtId="0" fontId="47" fillId="7" borderId="42" xfId="0" applyFont="1" applyFill="1" applyBorder="1" applyAlignment="1" applyProtection="1">
      <alignment horizontal="center" vertical="center" wrapText="1"/>
      <protection hidden="1"/>
    </xf>
    <xf numFmtId="0" fontId="47" fillId="5" borderId="42" xfId="0" applyFont="1" applyFill="1" applyBorder="1" applyAlignment="1" applyProtection="1">
      <alignment horizontal="center" vertical="center" wrapText="1"/>
      <protection hidden="1"/>
    </xf>
    <xf numFmtId="0" fontId="47" fillId="5" borderId="43" xfId="0" applyFont="1" applyFill="1" applyBorder="1" applyAlignment="1" applyProtection="1">
      <alignment horizontal="center" vertical="center" wrapText="1"/>
      <protection hidden="1"/>
    </xf>
    <xf numFmtId="0" fontId="54" fillId="0" borderId="0" xfId="0" applyFont="1" applyFill="1" applyBorder="1" applyAlignment="1" applyProtection="1">
      <alignment vertical="center" wrapText="1"/>
      <protection hidden="1"/>
    </xf>
    <xf numFmtId="0" fontId="54" fillId="2" borderId="0" xfId="0" applyFont="1" applyFill="1" applyBorder="1" applyAlignment="1" applyProtection="1">
      <alignment vertical="center" wrapText="1"/>
      <protection hidden="1"/>
    </xf>
    <xf numFmtId="2" fontId="28" fillId="2" borderId="0" xfId="0" applyNumberFormat="1" applyFont="1" applyFill="1" applyAlignment="1" applyProtection="1">
      <alignment horizontal="center" vertical="center" wrapText="1"/>
      <protection hidden="1"/>
    </xf>
    <xf numFmtId="167" fontId="28" fillId="2" borderId="0" xfId="0" applyNumberFormat="1" applyFont="1" applyFill="1" applyAlignment="1" applyProtection="1">
      <alignment vertical="center" wrapText="1"/>
      <protection hidden="1"/>
    </xf>
    <xf numFmtId="0" fontId="53" fillId="2" borderId="0" xfId="0" applyFont="1" applyFill="1" applyBorder="1" applyAlignment="1" applyProtection="1">
      <alignment vertical="center" wrapText="1"/>
      <protection hidden="1"/>
    </xf>
    <xf numFmtId="0" fontId="3" fillId="0" borderId="0" xfId="0" applyFont="1" applyProtection="1">
      <protection hidden="1"/>
    </xf>
    <xf numFmtId="2" fontId="58" fillId="17" borderId="9" xfId="1" applyNumberFormat="1" applyFont="1" applyFill="1" applyBorder="1" applyAlignment="1" applyProtection="1">
      <alignment horizontal="center" vertical="center" wrapText="1"/>
      <protection hidden="1"/>
    </xf>
    <xf numFmtId="2" fontId="26" fillId="17" borderId="9" xfId="1"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43"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28" fillId="7" borderId="9" xfId="0" applyFont="1" applyFill="1" applyBorder="1" applyAlignment="1" applyProtection="1">
      <alignment horizontal="center" vertical="center" wrapText="1"/>
      <protection hidden="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left"/>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wrapText="1"/>
    </xf>
    <xf numFmtId="2" fontId="24" fillId="17" borderId="22" xfId="1" applyNumberFormat="1" applyFont="1" applyFill="1" applyBorder="1" applyAlignment="1" applyProtection="1">
      <alignment horizontal="center" vertical="center" wrapText="1"/>
      <protection hidden="1"/>
    </xf>
    <xf numFmtId="2" fontId="24" fillId="0" borderId="3" xfId="1" applyNumberFormat="1" applyFont="1" applyFill="1" applyBorder="1" applyAlignment="1" applyProtection="1">
      <alignment horizontal="center" vertical="center" wrapText="1"/>
      <protection hidden="1"/>
    </xf>
    <xf numFmtId="164" fontId="28" fillId="7" borderId="36" xfId="0" applyNumberFormat="1" applyFont="1" applyFill="1" applyBorder="1" applyAlignment="1" applyProtection="1">
      <alignment horizontal="center" vertical="center" wrapText="1"/>
      <protection hidden="1"/>
    </xf>
    <xf numFmtId="165" fontId="28" fillId="7" borderId="34" xfId="0" applyNumberFormat="1" applyFont="1" applyFill="1" applyBorder="1" applyAlignment="1" applyProtection="1">
      <alignment horizontal="center" vertical="center" wrapText="1"/>
      <protection hidden="1"/>
    </xf>
    <xf numFmtId="2" fontId="28" fillId="7" borderId="34" xfId="0" applyNumberFormat="1" applyFont="1" applyFill="1" applyBorder="1" applyAlignment="1" applyProtection="1">
      <alignment horizontal="center" vertical="center" wrapText="1"/>
      <protection hidden="1"/>
    </xf>
    <xf numFmtId="166" fontId="28" fillId="7" borderId="46" xfId="0" applyNumberFormat="1" applyFont="1" applyFill="1" applyBorder="1" applyAlignment="1" applyProtection="1">
      <alignment horizontal="center" vertical="center" wrapText="1"/>
      <protection hidden="1"/>
    </xf>
    <xf numFmtId="0" fontId="28" fillId="0" borderId="23" xfId="0" applyFont="1" applyBorder="1" applyAlignment="1" applyProtection="1">
      <alignment vertical="center" wrapText="1"/>
      <protection hidden="1"/>
    </xf>
    <xf numFmtId="0" fontId="28" fillId="0" borderId="14" xfId="0" applyFont="1" applyBorder="1" applyAlignment="1" applyProtection="1">
      <alignment vertical="center" wrapText="1"/>
      <protection hidden="1"/>
    </xf>
    <xf numFmtId="167" fontId="47" fillId="7" borderId="46" xfId="0" applyNumberFormat="1" applyFont="1" applyFill="1" applyBorder="1" applyAlignment="1" applyProtection="1">
      <alignment horizontal="center" vertical="center" wrapText="1"/>
      <protection hidden="1"/>
    </xf>
    <xf numFmtId="0" fontId="28" fillId="0" borderId="10" xfId="0" applyFont="1" applyBorder="1" applyAlignment="1" applyProtection="1">
      <alignment vertical="center" wrapText="1"/>
      <protection hidden="1"/>
    </xf>
    <xf numFmtId="0" fontId="28" fillId="0" borderId="51" xfId="0" applyFont="1" applyBorder="1" applyAlignment="1" applyProtection="1">
      <alignment vertical="center" wrapText="1"/>
      <protection hidden="1"/>
    </xf>
    <xf numFmtId="0" fontId="28" fillId="2" borderId="51" xfId="0" applyFont="1" applyFill="1" applyBorder="1" applyAlignment="1" applyProtection="1">
      <alignment vertical="center" wrapText="1"/>
      <protection hidden="1"/>
    </xf>
    <xf numFmtId="0" fontId="54" fillId="2" borderId="60" xfId="0" applyFont="1" applyFill="1" applyBorder="1" applyAlignment="1" applyProtection="1">
      <alignment horizontal="center" vertical="center" wrapText="1"/>
      <protection hidden="1"/>
    </xf>
    <xf numFmtId="0" fontId="54" fillId="2" borderId="61" xfId="0" applyFont="1" applyFill="1" applyBorder="1" applyAlignment="1" applyProtection="1">
      <alignment horizontal="center" vertical="center" wrapText="1"/>
      <protection hidden="1"/>
    </xf>
    <xf numFmtId="2" fontId="58" fillId="17" borderId="19" xfId="1" applyNumberFormat="1" applyFont="1" applyFill="1" applyBorder="1" applyAlignment="1" applyProtection="1">
      <alignment horizontal="center" vertical="center"/>
      <protection hidden="1"/>
    </xf>
    <xf numFmtId="2" fontId="58" fillId="17" borderId="22" xfId="1" applyNumberFormat="1" applyFont="1" applyFill="1" applyBorder="1" applyAlignment="1" applyProtection="1">
      <alignment horizontal="center" vertical="center" wrapText="1"/>
      <protection hidden="1"/>
    </xf>
    <xf numFmtId="2" fontId="26" fillId="17" borderId="22" xfId="1" applyNumberFormat="1" applyFont="1" applyFill="1" applyBorder="1" applyAlignment="1" applyProtection="1">
      <alignment horizontal="center" vertical="center" wrapText="1"/>
      <protection hidden="1"/>
    </xf>
    <xf numFmtId="0" fontId="21" fillId="0" borderId="0" xfId="0" applyFont="1" applyBorder="1" applyAlignment="1">
      <alignment vertical="center" wrapText="1"/>
    </xf>
    <xf numFmtId="0" fontId="9" fillId="0" borderId="0" xfId="0" applyFont="1" applyAlignment="1">
      <alignment vertical="justify"/>
    </xf>
    <xf numFmtId="0" fontId="9" fillId="0" borderId="0" xfId="0" applyFont="1" applyAlignment="1">
      <alignment vertical="justify" wrapText="1"/>
    </xf>
    <xf numFmtId="0" fontId="9"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justify" vertical="justify" wrapText="1"/>
    </xf>
    <xf numFmtId="0" fontId="3" fillId="0" borderId="0" xfId="0" applyFont="1"/>
    <xf numFmtId="0" fontId="69" fillId="0" borderId="0" xfId="0" applyFont="1" applyAlignment="1">
      <alignment horizontal="justify" vertical="center"/>
    </xf>
    <xf numFmtId="0" fontId="70" fillId="0" borderId="0" xfId="0" applyFont="1" applyAlignment="1">
      <alignment horizontal="center"/>
    </xf>
    <xf numFmtId="0" fontId="70" fillId="0" borderId="0" xfId="0" applyFont="1"/>
    <xf numFmtId="0" fontId="38" fillId="0" borderId="0" xfId="0" applyFont="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left"/>
    </xf>
    <xf numFmtId="0" fontId="72" fillId="2" borderId="0" xfId="0" applyFont="1" applyFill="1" applyBorder="1"/>
    <xf numFmtId="164" fontId="28" fillId="7" borderId="34" xfId="0" applyNumberFormat="1" applyFont="1" applyFill="1" applyBorder="1" applyAlignment="1" applyProtection="1">
      <alignment horizontal="center" vertical="center" wrapText="1"/>
      <protection hidden="1"/>
    </xf>
    <xf numFmtId="2" fontId="28" fillId="7" borderId="39" xfId="0" applyNumberFormat="1" applyFont="1" applyFill="1" applyBorder="1" applyAlignment="1" applyProtection="1">
      <alignment horizontal="center" vertical="center" wrapText="1"/>
      <protection hidden="1"/>
    </xf>
    <xf numFmtId="173" fontId="28" fillId="7" borderId="36" xfId="0" applyNumberFormat="1" applyFont="1" applyFill="1" applyBorder="1" applyAlignment="1" applyProtection="1">
      <alignment horizontal="center" vertical="center" wrapText="1"/>
      <protection hidden="1"/>
    </xf>
    <xf numFmtId="2" fontId="28" fillId="7" borderId="45" xfId="0" applyNumberFormat="1" applyFont="1" applyFill="1" applyBorder="1" applyAlignment="1" applyProtection="1">
      <alignment horizontal="center" vertical="center" wrapText="1"/>
      <protection hidden="1"/>
    </xf>
    <xf numFmtId="173" fontId="28" fillId="7" borderId="9"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28" fillId="27" borderId="4" xfId="0" applyFont="1" applyFill="1" applyBorder="1" applyAlignment="1" applyProtection="1">
      <alignment vertical="center" wrapText="1"/>
      <protection hidden="1"/>
    </xf>
    <xf numFmtId="0" fontId="28" fillId="27" borderId="40" xfId="0" applyFont="1" applyFill="1" applyBorder="1" applyAlignment="1" applyProtection="1">
      <alignment vertical="center" wrapText="1"/>
      <protection hidden="1"/>
    </xf>
    <xf numFmtId="0" fontId="28" fillId="27" borderId="51" xfId="0" applyFont="1" applyFill="1" applyBorder="1" applyAlignment="1" applyProtection="1">
      <alignment vertical="center" wrapText="1"/>
      <protection hidden="1"/>
    </xf>
    <xf numFmtId="0" fontId="28" fillId="27" borderId="2" xfId="0" applyFont="1" applyFill="1" applyBorder="1" applyAlignment="1" applyProtection="1">
      <alignment vertical="center" wrapText="1"/>
      <protection hidden="1"/>
    </xf>
    <xf numFmtId="0" fontId="28" fillId="27" borderId="49" xfId="0" applyFont="1" applyFill="1" applyBorder="1" applyAlignment="1" applyProtection="1">
      <alignment vertical="center" wrapText="1"/>
      <protection hidden="1"/>
    </xf>
    <xf numFmtId="0" fontId="28" fillId="27" borderId="10" xfId="0" applyFont="1" applyFill="1" applyBorder="1" applyAlignment="1" applyProtection="1">
      <alignment vertical="center" wrapText="1"/>
      <protection hidden="1"/>
    </xf>
    <xf numFmtId="0" fontId="28" fillId="27" borderId="75" xfId="0" applyFont="1" applyFill="1" applyBorder="1" applyAlignment="1" applyProtection="1">
      <alignment vertical="center" wrapText="1"/>
      <protection hidden="1"/>
    </xf>
    <xf numFmtId="0" fontId="7" fillId="27" borderId="76"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2" fontId="9" fillId="0" borderId="76" xfId="0" applyNumberFormat="1" applyFont="1" applyBorder="1" applyAlignment="1">
      <alignment horizontal="center" vertical="center" wrapText="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24" fillId="17" borderId="20" xfId="1" applyNumberFormat="1"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applyBorder="1" applyProtection="1">
      <protection hidden="1"/>
    </xf>
    <xf numFmtId="0" fontId="2" fillId="0" borderId="6" xfId="0" applyFont="1" applyBorder="1" applyProtection="1">
      <protection hidden="1"/>
    </xf>
    <xf numFmtId="2" fontId="58" fillId="17" borderId="34" xfId="1" applyNumberFormat="1" applyFont="1" applyFill="1" applyBorder="1" applyAlignment="1" applyProtection="1">
      <alignment horizontal="center" vertical="center"/>
      <protection hidden="1"/>
    </xf>
    <xf numFmtId="0" fontId="2" fillId="0" borderId="8" xfId="0" applyFont="1" applyBorder="1" applyProtection="1">
      <protection hidden="1"/>
    </xf>
    <xf numFmtId="0" fontId="28" fillId="2" borderId="8" xfId="0" applyFont="1" applyFill="1" applyBorder="1" applyAlignment="1" applyProtection="1">
      <alignment vertical="center" wrapText="1"/>
      <protection hidden="1"/>
    </xf>
    <xf numFmtId="0" fontId="28" fillId="0" borderId="4" xfId="0" applyFont="1" applyBorder="1" applyAlignment="1" applyProtection="1">
      <alignment vertical="center" wrapText="1"/>
      <protection hidden="1"/>
    </xf>
    <xf numFmtId="0" fontId="28" fillId="2" borderId="1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wrapText="1"/>
      <protection hidden="1"/>
    </xf>
    <xf numFmtId="14" fontId="28" fillId="16" borderId="9" xfId="0" applyNumberFormat="1" applyFont="1" applyFill="1" applyBorder="1" applyAlignment="1" applyProtection="1">
      <alignment horizontal="center" vertical="center" wrapText="1"/>
      <protection hidden="1"/>
    </xf>
    <xf numFmtId="0" fontId="7" fillId="17" borderId="47" xfId="0" applyFont="1" applyFill="1" applyBorder="1" applyAlignment="1" applyProtection="1">
      <alignment horizontal="left" vertical="center" wrapText="1"/>
      <protection hidden="1"/>
    </xf>
    <xf numFmtId="0" fontId="7" fillId="17" borderId="55" xfId="0" applyFont="1" applyFill="1" applyBorder="1" applyAlignment="1" applyProtection="1">
      <alignment horizontal="center" vertical="center" wrapText="1"/>
      <protection hidden="1"/>
    </xf>
    <xf numFmtId="0" fontId="7" fillId="17" borderId="55" xfId="0" applyFont="1" applyFill="1" applyBorder="1" applyAlignment="1" applyProtection="1">
      <alignment horizontal="center" vertical="top" wrapText="1"/>
      <protection hidden="1"/>
    </xf>
    <xf numFmtId="0" fontId="7" fillId="17" borderId="41" xfId="0" applyFont="1" applyFill="1" applyBorder="1" applyAlignment="1" applyProtection="1">
      <alignment horizontal="left" vertical="center" wrapText="1"/>
      <protection hidden="1"/>
    </xf>
    <xf numFmtId="14" fontId="28" fillId="16" borderId="42" xfId="0" applyNumberFormat="1" applyFont="1" applyFill="1" applyBorder="1" applyAlignment="1" applyProtection="1">
      <alignment horizontal="center" vertical="center" wrapText="1"/>
      <protection hidden="1"/>
    </xf>
    <xf numFmtId="2" fontId="28" fillId="16" borderId="42" xfId="0" applyNumberFormat="1" applyFont="1" applyFill="1" applyBorder="1" applyAlignment="1" applyProtection="1">
      <alignment horizontal="center" vertical="center" wrapText="1"/>
      <protection hidden="1"/>
    </xf>
    <xf numFmtId="14" fontId="28" fillId="13" borderId="42" xfId="0" applyNumberFormat="1" applyFont="1" applyFill="1" applyBorder="1" applyAlignment="1" applyProtection="1">
      <alignment horizontal="center" vertical="center" wrapText="1"/>
      <protection hidden="1"/>
    </xf>
    <xf numFmtId="0" fontId="28" fillId="16" borderId="42" xfId="0" applyFont="1" applyFill="1" applyBorder="1" applyAlignment="1" applyProtection="1">
      <alignment horizontal="center" vertical="center" wrapText="1"/>
      <protection hidden="1"/>
    </xf>
    <xf numFmtId="169" fontId="28" fillId="13" borderId="42" xfId="0" applyNumberFormat="1" applyFont="1" applyFill="1" applyBorder="1" applyAlignment="1" applyProtection="1">
      <alignment horizontal="center" vertical="center" wrapText="1"/>
      <protection hidden="1"/>
    </xf>
    <xf numFmtId="0" fontId="28" fillId="13" borderId="42" xfId="0" applyFont="1" applyFill="1" applyBorder="1" applyAlignment="1" applyProtection="1">
      <alignment horizontal="center" vertical="center" wrapText="1"/>
      <protection hidden="1"/>
    </xf>
    <xf numFmtId="0" fontId="28" fillId="2" borderId="30" xfId="0" applyFont="1" applyFill="1" applyBorder="1" applyAlignment="1" applyProtection="1">
      <alignment horizontal="center" vertical="center" wrapText="1"/>
      <protection hidden="1"/>
    </xf>
    <xf numFmtId="1" fontId="73" fillId="16" borderId="9" xfId="0" applyNumberFormat="1" applyFont="1" applyFill="1" applyBorder="1" applyAlignment="1" applyProtection="1">
      <alignment vertical="center" wrapText="1"/>
      <protection hidden="1"/>
    </xf>
    <xf numFmtId="166" fontId="28" fillId="16" borderId="9"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protection hidden="1"/>
    </xf>
    <xf numFmtId="164" fontId="28" fillId="13" borderId="9" xfId="0" applyNumberFormat="1" applyFont="1" applyFill="1" applyBorder="1" applyAlignment="1" applyProtection="1">
      <alignment horizontal="center" vertical="center" wrapText="1"/>
      <protection hidden="1"/>
    </xf>
    <xf numFmtId="0" fontId="28" fillId="13" borderId="9" xfId="0" applyFont="1" applyFill="1" applyBorder="1" applyAlignment="1" applyProtection="1">
      <alignment horizontal="center" vertical="center" wrapText="1"/>
      <protection hidden="1"/>
    </xf>
    <xf numFmtId="1" fontId="28" fillId="16" borderId="9" xfId="0" applyNumberFormat="1" applyFont="1" applyFill="1" applyBorder="1" applyAlignment="1" applyProtection="1">
      <alignment horizontal="center" vertical="center" wrapText="1"/>
      <protection hidden="1"/>
    </xf>
    <xf numFmtId="170" fontId="28" fillId="16" borderId="9" xfId="0" applyNumberFormat="1" applyFont="1" applyFill="1" applyBorder="1" applyAlignment="1" applyProtection="1">
      <alignment horizontal="center" vertical="center" wrapText="1"/>
      <protection hidden="1"/>
    </xf>
    <xf numFmtId="0" fontId="28" fillId="2" borderId="24" xfId="0" applyFont="1" applyFill="1" applyBorder="1" applyAlignment="1" applyProtection="1">
      <alignment horizontal="center" vertical="center" wrapText="1"/>
      <protection hidden="1"/>
    </xf>
    <xf numFmtId="2" fontId="28" fillId="16" borderId="9" xfId="0" applyNumberFormat="1" applyFont="1" applyFill="1" applyBorder="1" applyAlignment="1" applyProtection="1">
      <alignment horizontal="center" vertical="center" wrapText="1"/>
      <protection hidden="1"/>
    </xf>
    <xf numFmtId="1" fontId="28" fillId="16" borderId="9" xfId="0" applyNumberFormat="1" applyFont="1" applyFill="1" applyBorder="1" applyAlignment="1" applyProtection="1">
      <alignment vertical="center" wrapText="1"/>
      <protection hidden="1"/>
    </xf>
    <xf numFmtId="167" fontId="28" fillId="16" borderId="9" xfId="0" applyNumberFormat="1" applyFont="1" applyFill="1" applyBorder="1" applyAlignment="1" applyProtection="1">
      <alignment horizontal="center" vertical="center" wrapText="1"/>
      <protection hidden="1"/>
    </xf>
    <xf numFmtId="0" fontId="28" fillId="0" borderId="24"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4" xfId="0" applyFont="1" applyFill="1" applyBorder="1" applyAlignment="1" applyProtection="1">
      <alignment vertical="center" wrapText="1"/>
      <protection hidden="1"/>
    </xf>
    <xf numFmtId="165" fontId="28" fillId="16" borderId="9" xfId="0" applyNumberFormat="1" applyFont="1" applyFill="1" applyBorder="1" applyAlignment="1" applyProtection="1">
      <alignment horizontal="center" vertical="center" wrapText="1"/>
      <protection hidden="1"/>
    </xf>
    <xf numFmtId="169" fontId="28" fillId="16" borderId="9" xfId="0" applyNumberFormat="1" applyFont="1" applyFill="1" applyBorder="1" applyAlignment="1" applyProtection="1">
      <alignment horizontal="center" vertical="center" wrapText="1"/>
      <protection hidden="1"/>
    </xf>
    <xf numFmtId="173" fontId="28" fillId="13" borderId="9" xfId="0" applyNumberFormat="1" applyFont="1" applyFill="1" applyBorder="1" applyAlignment="1" applyProtection="1">
      <alignment horizontal="center" vertical="center" wrapText="1"/>
      <protection hidden="1"/>
    </xf>
    <xf numFmtId="0" fontId="28" fillId="0" borderId="25" xfId="0" applyFont="1" applyFill="1" applyBorder="1" applyAlignment="1" applyProtection="1">
      <alignment horizontal="center" vertical="center" wrapText="1"/>
      <protection hidden="1"/>
    </xf>
    <xf numFmtId="0" fontId="28" fillId="0" borderId="26" xfId="0" applyFont="1" applyFill="1" applyBorder="1" applyAlignment="1" applyProtection="1">
      <alignment horizontal="center" vertical="center" wrapText="1"/>
      <protection hidden="1"/>
    </xf>
    <xf numFmtId="1" fontId="28" fillId="16" borderId="46" xfId="0" applyNumberFormat="1" applyFont="1" applyFill="1" applyBorder="1" applyAlignment="1" applyProtection="1">
      <alignment horizontal="center" vertical="center" wrapText="1"/>
      <protection hidden="1"/>
    </xf>
    <xf numFmtId="14" fontId="28" fillId="13" borderId="46" xfId="0" applyNumberFormat="1" applyFont="1" applyFill="1" applyBorder="1" applyAlignment="1" applyProtection="1">
      <alignment horizontal="center" vertical="center" wrapText="1"/>
      <protection hidden="1"/>
    </xf>
    <xf numFmtId="2" fontId="28" fillId="16" borderId="46" xfId="0" applyNumberFormat="1" applyFont="1" applyFill="1" applyBorder="1" applyAlignment="1" applyProtection="1">
      <alignment horizontal="center" vertical="center" wrapText="1"/>
      <protection hidden="1"/>
    </xf>
    <xf numFmtId="173" fontId="28" fillId="13" borderId="46" xfId="0" applyNumberFormat="1" applyFont="1" applyFill="1" applyBorder="1" applyAlignment="1" applyProtection="1">
      <alignment horizontal="center" vertical="center" wrapText="1"/>
      <protection hidden="1"/>
    </xf>
    <xf numFmtId="0" fontId="28" fillId="13" borderId="46" xfId="0" applyFont="1" applyFill="1" applyBorder="1" applyAlignment="1" applyProtection="1">
      <alignment horizontal="center" vertical="center" wrapText="1"/>
      <protection hidden="1"/>
    </xf>
    <xf numFmtId="170" fontId="28" fillId="16" borderId="46" xfId="0" applyNumberFormat="1" applyFont="1" applyFill="1" applyBorder="1" applyAlignment="1" applyProtection="1">
      <alignment horizontal="center" vertical="center" wrapText="1"/>
      <protection hidden="1"/>
    </xf>
    <xf numFmtId="0" fontId="28" fillId="0" borderId="48"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14" fontId="28" fillId="2" borderId="0" xfId="0" applyNumberFormat="1" applyFont="1" applyFill="1" applyBorder="1" applyAlignment="1" applyProtection="1">
      <alignment horizontal="center" vertical="center" wrapText="1"/>
      <protection hidden="1"/>
    </xf>
    <xf numFmtId="0" fontId="28" fillId="2" borderId="4" xfId="0" applyFont="1" applyFill="1" applyBorder="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31" fillId="2" borderId="0" xfId="0" applyFont="1" applyFill="1" applyBorder="1" applyAlignment="1" applyProtection="1">
      <alignment vertical="center" wrapText="1"/>
      <protection hidden="1"/>
    </xf>
    <xf numFmtId="0" fontId="28" fillId="13" borderId="36" xfId="0" applyFont="1" applyFill="1" applyBorder="1" applyAlignment="1" applyProtection="1">
      <alignment horizontal="center" vertical="center" wrapText="1"/>
      <protection hidden="1"/>
    </xf>
    <xf numFmtId="165" fontId="28" fillId="13" borderId="34" xfId="0" applyNumberFormat="1" applyFont="1" applyFill="1" applyBorder="1" applyAlignment="1" applyProtection="1">
      <alignment horizontal="center" vertical="center" wrapText="1"/>
      <protection hidden="1"/>
    </xf>
    <xf numFmtId="165" fontId="28" fillId="13" borderId="36" xfId="0" applyNumberFormat="1" applyFont="1" applyFill="1" applyBorder="1" applyAlignment="1" applyProtection="1">
      <alignment horizontal="center" vertical="center" wrapText="1"/>
      <protection hidden="1"/>
    </xf>
    <xf numFmtId="165" fontId="28" fillId="2" borderId="0" xfId="0" applyNumberFormat="1" applyFont="1" applyFill="1" applyBorder="1" applyAlignment="1" applyProtection="1">
      <alignment vertical="center" wrapText="1"/>
      <protection hidden="1"/>
    </xf>
    <xf numFmtId="2" fontId="28" fillId="13" borderId="36" xfId="0" applyNumberFormat="1" applyFont="1" applyFill="1" applyBorder="1" applyAlignment="1" applyProtection="1">
      <alignment horizontal="center" vertical="center" wrapText="1"/>
      <protection hidden="1"/>
    </xf>
    <xf numFmtId="2" fontId="28" fillId="13" borderId="34" xfId="0" applyNumberFormat="1" applyFont="1" applyFill="1" applyBorder="1" applyAlignment="1" applyProtection="1">
      <alignment horizontal="center" vertical="center" wrapText="1"/>
      <protection hidden="1"/>
    </xf>
    <xf numFmtId="164" fontId="28" fillId="13" borderId="36" xfId="0" applyNumberFormat="1" applyFont="1" applyFill="1" applyBorder="1" applyAlignment="1" applyProtection="1">
      <alignment horizontal="center" vertical="center" wrapText="1"/>
      <protection hidden="1"/>
    </xf>
    <xf numFmtId="0" fontId="28" fillId="13" borderId="34" xfId="0" applyFont="1" applyFill="1" applyBorder="1" applyAlignment="1" applyProtection="1">
      <alignment horizontal="center" vertical="center" wrapText="1"/>
      <protection hidden="1"/>
    </xf>
    <xf numFmtId="2" fontId="28" fillId="13" borderId="9" xfId="0" applyNumberFormat="1" applyFont="1" applyFill="1" applyBorder="1" applyAlignment="1" applyProtection="1">
      <alignment horizontal="center" vertical="center" wrapText="1"/>
      <protection hidden="1"/>
    </xf>
    <xf numFmtId="0" fontId="28" fillId="13" borderId="39" xfId="0" applyFont="1" applyFill="1" applyBorder="1" applyAlignment="1" applyProtection="1">
      <alignment horizontal="center" vertical="center" wrapText="1"/>
      <protection hidden="1"/>
    </xf>
    <xf numFmtId="2" fontId="28" fillId="13" borderId="45" xfId="0" applyNumberFormat="1" applyFont="1" applyFill="1" applyBorder="1" applyAlignment="1" applyProtection="1">
      <alignment horizontal="center" vertical="center" wrapText="1"/>
      <protection hidden="1"/>
    </xf>
    <xf numFmtId="165" fontId="28" fillId="13" borderId="39" xfId="0" applyNumberFormat="1"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7" fillId="17" borderId="43" xfId="0" applyFont="1" applyFill="1" applyBorder="1" applyAlignment="1" applyProtection="1">
      <alignment horizontal="center" vertical="center" wrapText="1"/>
      <protection hidden="1"/>
    </xf>
    <xf numFmtId="0" fontId="28" fillId="21" borderId="39" xfId="0" applyFont="1" applyFill="1" applyBorder="1" applyAlignment="1" applyProtection="1">
      <alignment horizontal="center" vertical="center" wrapText="1"/>
      <protection hidden="1"/>
    </xf>
    <xf numFmtId="0" fontId="5" fillId="17" borderId="9" xfId="0" applyFont="1" applyFill="1" applyBorder="1" applyAlignment="1" applyProtection="1">
      <alignment horizontal="center" vertical="center" wrapText="1"/>
      <protection hidden="1"/>
    </xf>
    <xf numFmtId="167" fontId="2" fillId="16" borderId="9" xfId="0" applyNumberFormat="1" applyFont="1" applyFill="1" applyBorder="1" applyAlignment="1" applyProtection="1">
      <alignment horizontal="center" vertical="center" wrapText="1"/>
      <protection hidden="1"/>
    </xf>
    <xf numFmtId="0" fontId="5" fillId="17" borderId="46" xfId="0" applyFont="1" applyFill="1" applyBorder="1" applyAlignment="1" applyProtection="1">
      <alignment horizontal="center" vertical="center" wrapText="1"/>
      <protection hidden="1"/>
    </xf>
    <xf numFmtId="167" fontId="2" fillId="16" borderId="46" xfId="0" applyNumberFormat="1" applyFont="1" applyFill="1" applyBorder="1" applyAlignment="1" applyProtection="1">
      <alignment horizontal="center" vertical="center" wrapText="1"/>
      <protection hidden="1"/>
    </xf>
    <xf numFmtId="0" fontId="28" fillId="0" borderId="1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67" fontId="2" fillId="0" borderId="0" xfId="0" applyNumberFormat="1" applyFont="1" applyFill="1" applyBorder="1" applyAlignment="1" applyProtection="1">
      <alignment horizontal="center" vertical="center" wrapText="1"/>
      <protection hidden="1"/>
    </xf>
    <xf numFmtId="0" fontId="28" fillId="0" borderId="51" xfId="0" applyFont="1" applyFill="1" applyBorder="1" applyAlignment="1" applyProtection="1">
      <alignment vertical="center" wrapText="1"/>
      <protection hidden="1"/>
    </xf>
    <xf numFmtId="0" fontId="7" fillId="17" borderId="9" xfId="0" applyFont="1" applyFill="1" applyBorder="1" applyAlignment="1" applyProtection="1">
      <alignment horizontal="center" vertical="center" wrapText="1"/>
      <protection hidden="1"/>
    </xf>
    <xf numFmtId="0" fontId="7" fillId="17" borderId="36" xfId="0" applyFont="1" applyFill="1" applyBorder="1" applyAlignment="1" applyProtection="1">
      <alignment horizontal="center" vertical="center" wrapText="1"/>
      <protection hidden="1"/>
    </xf>
    <xf numFmtId="1" fontId="3" fillId="13" borderId="36" xfId="0" applyNumberFormat="1" applyFont="1" applyFill="1" applyBorder="1" applyAlignment="1" applyProtection="1">
      <alignment horizontal="center" vertical="center" wrapText="1"/>
      <protection hidden="1"/>
    </xf>
    <xf numFmtId="1" fontId="3" fillId="13" borderId="9"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7" fillId="17" borderId="19" xfId="0" applyFont="1" applyFill="1" applyBorder="1" applyAlignment="1" applyProtection="1">
      <alignment horizontal="center" vertical="center" wrapText="1"/>
      <protection hidden="1"/>
    </xf>
    <xf numFmtId="0" fontId="28" fillId="0" borderId="5"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166" fontId="28" fillId="0" borderId="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25" fillId="17" borderId="42" xfId="0" applyFont="1" applyFill="1" applyBorder="1" applyAlignment="1" applyProtection="1">
      <alignment horizontal="center" vertical="center" wrapText="1"/>
      <protection hidden="1"/>
    </xf>
    <xf numFmtId="0" fontId="25" fillId="17" borderId="43" xfId="0" applyFont="1" applyFill="1" applyBorder="1" applyAlignment="1" applyProtection="1">
      <alignment horizontal="center" vertical="center" wrapText="1"/>
      <protection hidden="1"/>
    </xf>
    <xf numFmtId="0" fontId="28" fillId="5" borderId="41" xfId="0" applyFont="1" applyFill="1" applyBorder="1" applyAlignment="1" applyProtection="1">
      <alignment horizontal="center" vertical="center" wrapText="1"/>
      <protection hidden="1"/>
    </xf>
    <xf numFmtId="0" fontId="28" fillId="5" borderId="42" xfId="0" applyFont="1" applyFill="1" applyBorder="1" applyAlignment="1" applyProtection="1">
      <alignment horizontal="center" vertical="center" wrapText="1"/>
      <protection hidden="1"/>
    </xf>
    <xf numFmtId="0" fontId="28" fillId="5" borderId="43" xfId="0" applyFont="1" applyFill="1" applyBorder="1" applyAlignment="1" applyProtection="1">
      <alignment horizontal="center" vertical="center" wrapText="1"/>
      <protection hidden="1"/>
    </xf>
    <xf numFmtId="0" fontId="28" fillId="5" borderId="76" xfId="0" applyFont="1" applyFill="1" applyBorder="1" applyAlignment="1" applyProtection="1">
      <alignment vertical="center" wrapText="1"/>
      <protection hidden="1"/>
    </xf>
    <xf numFmtId="165" fontId="4" fillId="8" borderId="3" xfId="0" applyNumberFormat="1" applyFont="1" applyFill="1" applyBorder="1" applyAlignment="1" applyProtection="1">
      <alignment vertical="center" wrapText="1"/>
      <protection hidden="1"/>
    </xf>
    <xf numFmtId="165" fontId="1" fillId="8" borderId="1" xfId="0" applyNumberFormat="1" applyFont="1" applyFill="1" applyBorder="1" applyAlignment="1" applyProtection="1">
      <alignment horizontal="center" vertical="center" wrapText="1"/>
      <protection hidden="1"/>
    </xf>
    <xf numFmtId="165" fontId="4" fillId="8" borderId="4" xfId="0" applyNumberFormat="1" applyFont="1" applyFill="1" applyBorder="1" applyAlignment="1" applyProtection="1">
      <alignment vertical="center" wrapText="1"/>
      <protection hidden="1"/>
    </xf>
    <xf numFmtId="11" fontId="28" fillId="13" borderId="9" xfId="0" applyNumberFormat="1" applyFont="1" applyFill="1" applyBorder="1" applyAlignment="1" applyProtection="1">
      <alignment horizontal="center" vertical="center" wrapText="1"/>
      <protection hidden="1"/>
    </xf>
    <xf numFmtId="0" fontId="28" fillId="5" borderId="36" xfId="0" applyFont="1" applyFill="1" applyBorder="1" applyAlignment="1" applyProtection="1">
      <alignment horizontal="center" vertical="center" wrapText="1"/>
      <protection hidden="1"/>
    </xf>
    <xf numFmtId="0" fontId="5" fillId="19" borderId="71" xfId="0" applyFont="1" applyFill="1" applyBorder="1" applyAlignment="1" applyProtection="1">
      <alignment horizontal="center" vertical="center" wrapText="1"/>
      <protection hidden="1"/>
    </xf>
    <xf numFmtId="165" fontId="4" fillId="8" borderId="0" xfId="0" applyNumberFormat="1" applyFont="1" applyFill="1" applyBorder="1" applyAlignment="1" applyProtection="1">
      <alignment vertical="center" wrapText="1"/>
      <protection hidden="1"/>
    </xf>
    <xf numFmtId="167" fontId="4" fillId="8" borderId="1" xfId="0" applyNumberFormat="1" applyFont="1" applyFill="1" applyBorder="1" applyAlignment="1" applyProtection="1">
      <alignment horizontal="center" vertical="center" wrapText="1"/>
      <protection hidden="1"/>
    </xf>
    <xf numFmtId="165" fontId="4" fillId="8" borderId="51" xfId="0" applyNumberFormat="1" applyFont="1" applyFill="1" applyBorder="1" applyAlignment="1" applyProtection="1">
      <alignment vertical="center" wrapText="1"/>
      <protection hidden="1"/>
    </xf>
    <xf numFmtId="0" fontId="5" fillId="5" borderId="74" xfId="0" applyFont="1" applyFill="1" applyBorder="1" applyAlignment="1" applyProtection="1">
      <alignment horizontal="center" vertical="center" wrapText="1"/>
      <protection hidden="1"/>
    </xf>
    <xf numFmtId="165" fontId="4" fillId="8" borderId="5" xfId="0" applyNumberFormat="1" applyFont="1" applyFill="1" applyBorder="1" applyAlignment="1" applyProtection="1">
      <alignment vertical="center" wrapText="1"/>
      <protection hidden="1"/>
    </xf>
    <xf numFmtId="165" fontId="4" fillId="8" borderId="40" xfId="0" applyNumberFormat="1" applyFont="1" applyFill="1" applyBorder="1" applyAlignment="1" applyProtection="1">
      <alignment vertical="center" wrapText="1"/>
      <protection hidden="1"/>
    </xf>
    <xf numFmtId="0" fontId="28" fillId="5" borderId="76" xfId="0" applyFont="1" applyFill="1" applyBorder="1" applyAlignment="1" applyProtection="1">
      <alignment horizontal="center" vertical="center" wrapText="1"/>
      <protection hidden="1"/>
    </xf>
    <xf numFmtId="165" fontId="1" fillId="8" borderId="52" xfId="0" applyNumberFormat="1" applyFont="1" applyFill="1" applyBorder="1" applyAlignment="1" applyProtection="1">
      <alignment horizontal="center" vertical="center" wrapText="1"/>
      <protection hidden="1"/>
    </xf>
    <xf numFmtId="0" fontId="23" fillId="4" borderId="45" xfId="0" applyFont="1" applyFill="1" applyBorder="1" applyAlignment="1" applyProtection="1">
      <alignment horizontal="center" vertical="center" wrapText="1"/>
      <protection hidden="1"/>
    </xf>
    <xf numFmtId="11" fontId="28" fillId="13" borderId="46" xfId="0" applyNumberFormat="1" applyFont="1" applyFill="1" applyBorder="1" applyAlignment="1" applyProtection="1">
      <alignment horizontal="center" vertical="center" wrapText="1"/>
      <protection hidden="1"/>
    </xf>
    <xf numFmtId="0" fontId="28" fillId="5" borderId="39" xfId="0" applyFont="1" applyFill="1" applyBorder="1" applyAlignment="1" applyProtection="1">
      <alignment horizontal="center" vertical="center" wrapText="1"/>
      <protection hidden="1"/>
    </xf>
    <xf numFmtId="169" fontId="28" fillId="13" borderId="36" xfId="0" applyNumberFormat="1" applyFont="1" applyFill="1" applyBorder="1" applyAlignment="1" applyProtection="1">
      <alignment horizontal="center" vertical="center" wrapText="1"/>
      <protection hidden="1"/>
    </xf>
    <xf numFmtId="0" fontId="28" fillId="2" borderId="24" xfId="0" applyFont="1" applyFill="1" applyBorder="1" applyAlignment="1" applyProtection="1">
      <alignment vertical="center" wrapText="1"/>
      <protection hidden="1"/>
    </xf>
    <xf numFmtId="0" fontId="28" fillId="2" borderId="23" xfId="0" applyFont="1" applyFill="1" applyBorder="1" applyAlignment="1" applyProtection="1">
      <alignment vertical="center" wrapText="1"/>
      <protection hidden="1"/>
    </xf>
    <xf numFmtId="2" fontId="28" fillId="13" borderId="39" xfId="0" applyNumberFormat="1" applyFont="1" applyFill="1" applyBorder="1" applyAlignment="1" applyProtection="1">
      <alignment horizontal="center" vertical="center" wrapText="1"/>
      <protection hidden="1"/>
    </xf>
    <xf numFmtId="0" fontId="28" fillId="2" borderId="11" xfId="0" applyFont="1" applyFill="1" applyBorder="1" applyAlignment="1" applyProtection="1">
      <alignment vertical="center" wrapText="1"/>
      <protection hidden="1"/>
    </xf>
    <xf numFmtId="0" fontId="27" fillId="2" borderId="10" xfId="0" applyFont="1" applyFill="1" applyBorder="1" applyAlignment="1" applyProtection="1">
      <alignment horizontal="center" vertical="center" wrapText="1"/>
      <protection hidden="1"/>
    </xf>
    <xf numFmtId="0" fontId="28" fillId="2" borderId="54" xfId="0" applyFont="1" applyFill="1" applyBorder="1" applyAlignment="1" applyProtection="1">
      <alignment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28" fillId="5" borderId="23" xfId="0" applyFont="1" applyFill="1" applyBorder="1" applyAlignment="1" applyProtection="1">
      <alignment vertical="center" wrapText="1"/>
      <protection hidden="1"/>
    </xf>
    <xf numFmtId="0" fontId="28" fillId="5" borderId="14" xfId="0" applyFont="1" applyFill="1" applyBorder="1" applyAlignment="1" applyProtection="1">
      <alignment vertical="center" wrapText="1"/>
      <protection hidden="1"/>
    </xf>
    <xf numFmtId="164" fontId="28" fillId="7" borderId="11" xfId="0" applyNumberFormat="1" applyFont="1" applyFill="1" applyBorder="1" applyAlignment="1" applyProtection="1">
      <alignment horizontal="center" vertical="center" wrapText="1"/>
      <protection hidden="1"/>
    </xf>
    <xf numFmtId="0" fontId="3" fillId="2" borderId="37"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164" fontId="28" fillId="2" borderId="23" xfId="0" applyNumberFormat="1" applyFont="1" applyFill="1" applyBorder="1" applyAlignment="1" applyProtection="1">
      <alignment vertical="center" wrapText="1"/>
      <protection hidden="1"/>
    </xf>
    <xf numFmtId="0" fontId="45" fillId="5" borderId="9" xfId="0" applyFont="1" applyFill="1" applyBorder="1" applyAlignment="1" applyProtection="1">
      <alignment horizontal="center" vertical="center" wrapText="1"/>
      <protection hidden="1"/>
    </xf>
    <xf numFmtId="169" fontId="28" fillId="2" borderId="35" xfId="0" applyNumberFormat="1" applyFont="1" applyFill="1" applyBorder="1" applyAlignment="1" applyProtection="1">
      <alignment vertical="center" wrapText="1"/>
      <protection hidden="1"/>
    </xf>
    <xf numFmtId="0" fontId="45" fillId="5" borderId="23" xfId="0" applyFont="1" applyFill="1" applyBorder="1" applyAlignment="1" applyProtection="1">
      <alignment vertical="center" wrapText="1"/>
      <protection hidden="1"/>
    </xf>
    <xf numFmtId="0" fontId="28" fillId="5" borderId="9" xfId="0" applyFont="1" applyFill="1" applyBorder="1" applyAlignment="1" applyProtection="1">
      <alignment vertical="center" wrapText="1"/>
      <protection hidden="1"/>
    </xf>
    <xf numFmtId="169" fontId="28" fillId="2" borderId="23" xfId="0" applyNumberFormat="1" applyFont="1" applyFill="1" applyBorder="1" applyAlignment="1" applyProtection="1">
      <alignment vertical="center" wrapText="1"/>
      <protection hidden="1"/>
    </xf>
    <xf numFmtId="0" fontId="46" fillId="5" borderId="23" xfId="0" applyFont="1" applyFill="1" applyBorder="1" applyAlignment="1" applyProtection="1">
      <alignment horizontal="left" vertical="center" wrapText="1"/>
      <protection hidden="1"/>
    </xf>
    <xf numFmtId="1" fontId="28" fillId="7" borderId="11" xfId="0" applyNumberFormat="1" applyFont="1" applyFill="1" applyBorder="1" applyAlignment="1" applyProtection="1">
      <alignment horizontal="center" vertical="center" wrapText="1"/>
      <protection hidden="1"/>
    </xf>
    <xf numFmtId="1" fontId="28" fillId="2" borderId="23" xfId="0" applyNumberFormat="1" applyFont="1" applyFill="1" applyBorder="1" applyAlignment="1" applyProtection="1">
      <alignment vertical="center" wrapText="1"/>
      <protection hidden="1"/>
    </xf>
    <xf numFmtId="0" fontId="45" fillId="2" borderId="9" xfId="0" applyFont="1" applyFill="1" applyBorder="1" applyAlignment="1" applyProtection="1">
      <alignment horizontal="center" vertical="center" wrapText="1"/>
      <protection hidden="1"/>
    </xf>
    <xf numFmtId="168" fontId="28" fillId="7" borderId="9" xfId="0" applyNumberFormat="1" applyFont="1" applyFill="1" applyBorder="1" applyAlignment="1" applyProtection="1">
      <alignment horizontal="center" vertical="center" wrapText="1"/>
      <protection hidden="1"/>
    </xf>
    <xf numFmtId="1" fontId="28" fillId="2" borderId="11" xfId="0" applyNumberFormat="1" applyFont="1" applyFill="1" applyBorder="1" applyAlignment="1" applyProtection="1">
      <alignment horizontal="center" vertical="center" wrapText="1"/>
      <protection hidden="1"/>
    </xf>
    <xf numFmtId="169" fontId="28" fillId="2" borderId="35" xfId="0" applyNumberFormat="1" applyFont="1" applyFill="1" applyBorder="1" applyAlignment="1" applyProtection="1">
      <alignment horizontal="center" vertical="center"/>
      <protection hidden="1"/>
    </xf>
    <xf numFmtId="0" fontId="46" fillId="5" borderId="64" xfId="0" applyFont="1" applyFill="1" applyBorder="1" applyAlignment="1" applyProtection="1">
      <alignment vertical="center" wrapText="1"/>
      <protection hidden="1"/>
    </xf>
    <xf numFmtId="0" fontId="46" fillId="5" borderId="59" xfId="0" applyFont="1" applyFill="1" applyBorder="1" applyAlignment="1" applyProtection="1">
      <alignment vertical="center" wrapText="1"/>
      <protection hidden="1"/>
    </xf>
    <xf numFmtId="173" fontId="28" fillId="7" borderId="57" xfId="0" applyNumberFormat="1" applyFont="1" applyFill="1" applyBorder="1" applyAlignment="1" applyProtection="1">
      <alignment horizontal="center" vertical="center" wrapText="1"/>
      <protection hidden="1"/>
    </xf>
    <xf numFmtId="169" fontId="28" fillId="5" borderId="63" xfId="0"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32" fillId="5" borderId="38" xfId="0" applyFont="1" applyFill="1" applyBorder="1" applyAlignment="1" applyProtection="1">
      <alignment horizontal="center" vertical="center" wrapText="1"/>
      <protection hidden="1"/>
    </xf>
    <xf numFmtId="0" fontId="45" fillId="2" borderId="10" xfId="0" applyFont="1" applyFill="1" applyBorder="1" applyAlignment="1" applyProtection="1">
      <alignment vertical="center" wrapText="1"/>
      <protection hidden="1"/>
    </xf>
    <xf numFmtId="2" fontId="3" fillId="5" borderId="9" xfId="0" applyNumberFormat="1" applyFont="1" applyFill="1" applyBorder="1" applyAlignment="1" applyProtection="1">
      <alignment horizontal="center" vertical="center" wrapText="1"/>
      <protection hidden="1"/>
    </xf>
    <xf numFmtId="0" fontId="27" fillId="2" borderId="23" xfId="0" applyFont="1" applyFill="1" applyBorder="1" applyAlignment="1" applyProtection="1">
      <alignment horizontal="center" vertical="center" wrapText="1"/>
      <protection hidden="1"/>
    </xf>
    <xf numFmtId="0" fontId="43" fillId="2" borderId="23" xfId="0" applyFont="1" applyFill="1" applyBorder="1" applyAlignment="1" applyProtection="1">
      <alignment horizontal="center" vertical="center" wrapText="1"/>
      <protection hidden="1"/>
    </xf>
    <xf numFmtId="0" fontId="50" fillId="2" borderId="35" xfId="0" applyFont="1" applyFill="1" applyBorder="1" applyAlignment="1" applyProtection="1">
      <alignment horizontal="center" vertical="center" wrapText="1"/>
      <protection hidden="1"/>
    </xf>
    <xf numFmtId="0" fontId="45" fillId="2" borderId="51" xfId="0" applyFont="1" applyFill="1" applyBorder="1" applyAlignment="1" applyProtection="1">
      <alignment vertical="center" wrapText="1"/>
      <protection hidden="1"/>
    </xf>
    <xf numFmtId="0" fontId="38" fillId="5" borderId="9" xfId="0" applyFont="1" applyFill="1" applyBorder="1" applyAlignment="1" applyProtection="1">
      <alignment vertical="center" wrapText="1"/>
      <protection hidden="1"/>
    </xf>
    <xf numFmtId="14" fontId="47" fillId="5" borderId="9" xfId="0" applyNumberFormat="1" applyFont="1" applyFill="1" applyBorder="1" applyAlignment="1" applyProtection="1">
      <alignment horizontal="center" vertical="center" wrapText="1"/>
      <protection hidden="1"/>
    </xf>
    <xf numFmtId="169" fontId="47" fillId="7" borderId="9" xfId="0" applyNumberFormat="1" applyFont="1" applyFill="1" applyBorder="1" applyAlignment="1" applyProtection="1">
      <alignment horizontal="center" vertical="center" wrapText="1"/>
      <protection hidden="1"/>
    </xf>
    <xf numFmtId="165" fontId="47" fillId="7" borderId="9" xfId="0" applyNumberFormat="1"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45" fillId="2" borderId="35"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165" fontId="47" fillId="5" borderId="9" xfId="0" applyNumberFormat="1" applyFont="1" applyFill="1" applyBorder="1" applyAlignment="1" applyProtection="1">
      <alignment horizontal="center" vertical="center" wrapText="1"/>
      <protection hidden="1"/>
    </xf>
    <xf numFmtId="1" fontId="47" fillId="7" borderId="9" xfId="0" applyNumberFormat="1" applyFont="1" applyFill="1" applyBorder="1" applyAlignment="1" applyProtection="1">
      <alignment horizontal="center" vertical="center" wrapText="1"/>
      <protection hidden="1"/>
    </xf>
    <xf numFmtId="173" fontId="47" fillId="7" borderId="9" xfId="0" applyNumberFormat="1" applyFont="1" applyFill="1" applyBorder="1" applyAlignment="1" applyProtection="1">
      <alignment horizontal="center" vertical="center" wrapText="1"/>
      <protection hidden="1"/>
    </xf>
    <xf numFmtId="172" fontId="47" fillId="7" borderId="9" xfId="0" applyNumberFormat="1" applyFont="1" applyFill="1" applyBorder="1" applyAlignment="1" applyProtection="1">
      <alignment horizontal="center" vertical="center" wrapText="1"/>
      <protection hidden="1"/>
    </xf>
    <xf numFmtId="167" fontId="47" fillId="7" borderId="9" xfId="0" applyNumberFormat="1" applyFont="1" applyFill="1" applyBorder="1" applyAlignment="1" applyProtection="1">
      <alignment horizontal="center" vertical="center" wrapText="1"/>
      <protection hidden="1"/>
    </xf>
    <xf numFmtId="174" fontId="47" fillId="7" borderId="9" xfId="0" applyNumberFormat="1" applyFont="1" applyFill="1" applyBorder="1" applyAlignment="1" applyProtection="1">
      <alignment horizontal="center" vertical="center" wrapText="1"/>
      <protection hidden="1"/>
    </xf>
    <xf numFmtId="0" fontId="38" fillId="0" borderId="37" xfId="0" applyFont="1" applyFill="1" applyBorder="1" applyAlignment="1" applyProtection="1">
      <alignment horizontal="left" vertical="center" wrapText="1"/>
      <protection hidden="1"/>
    </xf>
    <xf numFmtId="0" fontId="38" fillId="0" borderId="14" xfId="0" applyFont="1" applyFill="1" applyBorder="1" applyAlignment="1" applyProtection="1">
      <alignment horizontal="left" vertical="center" wrapText="1"/>
      <protection hidden="1"/>
    </xf>
    <xf numFmtId="165" fontId="3" fillId="0" borderId="9" xfId="0" applyNumberFormat="1" applyFont="1" applyFill="1" applyBorder="1" applyAlignment="1" applyProtection="1">
      <alignment horizontal="center" vertical="center" wrapText="1"/>
      <protection hidden="1"/>
    </xf>
    <xf numFmtId="164" fontId="47" fillId="0" borderId="9" xfId="0" applyNumberFormat="1" applyFont="1" applyFill="1" applyBorder="1" applyAlignment="1" applyProtection="1">
      <alignment horizontal="center" vertical="center" wrapText="1"/>
      <protection hidden="1"/>
    </xf>
    <xf numFmtId="14" fontId="47" fillId="0" borderId="9" xfId="0" applyNumberFormat="1" applyFont="1" applyFill="1" applyBorder="1" applyAlignment="1" applyProtection="1">
      <alignment horizontal="center" vertical="center" wrapText="1"/>
      <protection hidden="1"/>
    </xf>
    <xf numFmtId="164" fontId="47" fillId="0" borderId="23" xfId="0" applyNumberFormat="1" applyFont="1" applyFill="1" applyBorder="1" applyAlignment="1" applyProtection="1">
      <alignment horizontal="center" vertical="center" wrapText="1"/>
      <protection hidden="1"/>
    </xf>
    <xf numFmtId="0" fontId="47" fillId="0" borderId="23" xfId="0" applyFont="1" applyFill="1" applyBorder="1" applyAlignment="1" applyProtection="1">
      <alignment horizontal="center" vertical="center" wrapText="1"/>
      <protection hidden="1"/>
    </xf>
    <xf numFmtId="14" fontId="47" fillId="0" borderId="23" xfId="0" applyNumberFormat="1" applyFont="1" applyFill="1" applyBorder="1" applyAlignment="1" applyProtection="1">
      <alignment horizontal="center" vertical="center" wrapText="1"/>
      <protection hidden="1"/>
    </xf>
    <xf numFmtId="1" fontId="47" fillId="0" borderId="23" xfId="0" applyNumberFormat="1" applyFont="1" applyFill="1" applyBorder="1" applyAlignment="1" applyProtection="1">
      <alignment horizontal="center" vertical="center" wrapText="1"/>
      <protection hidden="1"/>
    </xf>
    <xf numFmtId="169" fontId="47" fillId="0" borderId="23" xfId="0" applyNumberFormat="1" applyFont="1" applyFill="1" applyBorder="1" applyAlignment="1" applyProtection="1">
      <alignment horizontal="center" vertical="center" wrapText="1"/>
      <protection hidden="1"/>
    </xf>
    <xf numFmtId="172" fontId="47" fillId="0" borderId="23" xfId="0" applyNumberFormat="1" applyFont="1" applyFill="1" applyBorder="1" applyAlignment="1" applyProtection="1">
      <alignment horizontal="center" vertical="center" wrapText="1"/>
      <protection hidden="1"/>
    </xf>
    <xf numFmtId="0" fontId="47" fillId="0" borderId="35" xfId="0" applyFont="1" applyFill="1" applyBorder="1" applyAlignment="1" applyProtection="1">
      <alignment horizontal="center" vertical="center" wrapText="1"/>
      <protection hidden="1"/>
    </xf>
    <xf numFmtId="166" fontId="3" fillId="5" borderId="9" xfId="0" applyNumberFormat="1" applyFont="1" applyFill="1" applyBorder="1" applyAlignment="1" applyProtection="1">
      <alignment horizontal="center" vertical="center" wrapText="1"/>
      <protection hidden="1"/>
    </xf>
    <xf numFmtId="166" fontId="47" fillId="7" borderId="9" xfId="0" applyNumberFormat="1" applyFont="1" applyFill="1" applyBorder="1" applyAlignment="1" applyProtection="1">
      <alignment horizontal="center" vertical="center" wrapText="1"/>
      <protection hidden="1"/>
    </xf>
    <xf numFmtId="171" fontId="45" fillId="2" borderId="23" xfId="0" applyNumberFormat="1" applyFont="1" applyFill="1" applyBorder="1" applyAlignment="1" applyProtection="1">
      <alignment horizontal="center" vertical="center" wrapText="1"/>
      <protection hidden="1"/>
    </xf>
    <xf numFmtId="171" fontId="47" fillId="7" borderId="9" xfId="0" applyNumberFormat="1" applyFont="1" applyFill="1" applyBorder="1" applyAlignment="1" applyProtection="1">
      <alignment horizontal="center" vertical="center" wrapText="1"/>
      <protection hidden="1"/>
    </xf>
    <xf numFmtId="164" fontId="47" fillId="7" borderId="9" xfId="0" applyNumberFormat="1" applyFont="1" applyFill="1" applyBorder="1" applyAlignment="1" applyProtection="1">
      <alignment horizontal="center" vertical="center" wrapText="1"/>
      <protection hidden="1"/>
    </xf>
    <xf numFmtId="0" fontId="3" fillId="5" borderId="9" xfId="0" applyFont="1" applyFill="1" applyBorder="1" applyAlignment="1" applyProtection="1">
      <alignment vertical="center" wrapText="1"/>
      <protection hidden="1"/>
    </xf>
    <xf numFmtId="2" fontId="47" fillId="7" borderId="9" xfId="0" applyNumberFormat="1" applyFont="1" applyFill="1" applyBorder="1" applyAlignment="1" applyProtection="1">
      <alignment horizontal="center" vertical="center" wrapText="1"/>
      <protection hidden="1"/>
    </xf>
    <xf numFmtId="11" fontId="3" fillId="5" borderId="9" xfId="0" applyNumberFormat="1" applyFont="1" applyFill="1" applyBorder="1" applyAlignment="1" applyProtection="1">
      <alignment horizontal="center" vertical="center" wrapText="1"/>
      <protection hidden="1"/>
    </xf>
    <xf numFmtId="11" fontId="47" fillId="7" borderId="9" xfId="0" applyNumberFormat="1" applyFont="1" applyFill="1" applyBorder="1" applyAlignment="1" applyProtection="1">
      <alignment horizontal="center" vertical="center" wrapText="1"/>
      <protection hidden="1"/>
    </xf>
    <xf numFmtId="0" fontId="52" fillId="5" borderId="9" xfId="0" applyFont="1" applyFill="1" applyBorder="1" applyAlignment="1" applyProtection="1">
      <alignment horizontal="center" vertical="center" wrapText="1"/>
      <protection hidden="1"/>
    </xf>
    <xf numFmtId="0" fontId="45" fillId="2" borderId="10" xfId="0" applyFont="1" applyFill="1" applyBorder="1" applyAlignment="1" applyProtection="1">
      <alignment horizontal="center" vertical="center" wrapText="1"/>
      <protection hidden="1"/>
    </xf>
    <xf numFmtId="169" fontId="28" fillId="7" borderId="9" xfId="0"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right" vertical="center" wrapText="1"/>
      <protection hidden="1"/>
    </xf>
    <xf numFmtId="0" fontId="47" fillId="2" borderId="0" xfId="0" applyFont="1" applyFill="1" applyBorder="1" applyAlignment="1" applyProtection="1">
      <alignment vertical="center" wrapText="1"/>
      <protection hidden="1"/>
    </xf>
    <xf numFmtId="0" fontId="54" fillId="2" borderId="54" xfId="0" applyFont="1" applyFill="1" applyBorder="1" applyAlignment="1" applyProtection="1">
      <alignment vertical="center" wrapText="1"/>
      <protection hidden="1"/>
    </xf>
    <xf numFmtId="0" fontId="54" fillId="2" borderId="13" xfId="0" applyFont="1" applyFill="1" applyBorder="1" applyAlignment="1" applyProtection="1">
      <alignment vertical="center" wrapText="1"/>
      <protection hidden="1"/>
    </xf>
    <xf numFmtId="167" fontId="4" fillId="7" borderId="71" xfId="0" applyNumberFormat="1" applyFont="1" applyFill="1" applyBorder="1" applyAlignment="1" applyProtection="1">
      <alignment horizontal="center" vertical="center" wrapText="1"/>
      <protection hidden="1"/>
    </xf>
    <xf numFmtId="0" fontId="28" fillId="2" borderId="2" xfId="0" applyFont="1" applyFill="1" applyBorder="1" applyAlignment="1" applyProtection="1">
      <alignment vertical="center" wrapText="1"/>
      <protection hidden="1"/>
    </xf>
    <xf numFmtId="0" fontId="54" fillId="2" borderId="0" xfId="0" applyFont="1" applyFill="1" applyBorder="1" applyAlignment="1" applyProtection="1">
      <alignment horizontal="center" vertical="center" wrapText="1"/>
      <protection hidden="1"/>
    </xf>
    <xf numFmtId="167" fontId="4" fillId="7" borderId="74" xfId="0" applyNumberFormat="1" applyFont="1" applyFill="1" applyBorder="1" applyAlignment="1" applyProtection="1">
      <alignment horizontal="center" vertical="center" wrapText="1"/>
      <protection hidden="1"/>
    </xf>
    <xf numFmtId="2" fontId="5" fillId="7" borderId="65" xfId="0" applyNumberFormat="1" applyFont="1" applyFill="1" applyBorder="1" applyAlignment="1" applyProtection="1">
      <alignment horizontal="center" vertical="center" wrapText="1"/>
      <protection hidden="1"/>
    </xf>
    <xf numFmtId="2" fontId="28" fillId="2" borderId="0" xfId="0" applyNumberFormat="1" applyFont="1" applyFill="1" applyBorder="1" applyAlignment="1" applyProtection="1">
      <alignment horizontal="center" vertical="center" wrapText="1"/>
      <protection hidden="1"/>
    </xf>
    <xf numFmtId="167" fontId="28" fillId="2" borderId="0" xfId="0" applyNumberFormat="1" applyFont="1" applyFill="1" applyBorder="1" applyAlignment="1" applyProtection="1">
      <alignment vertical="center" wrapText="1"/>
      <protection hidden="1"/>
    </xf>
    <xf numFmtId="2" fontId="3" fillId="7" borderId="39" xfId="0" applyNumberFormat="1" applyFont="1" applyFill="1" applyBorder="1" applyAlignment="1" applyProtection="1">
      <alignment horizontal="center" vertical="center"/>
      <protection hidden="1"/>
    </xf>
    <xf numFmtId="0" fontId="53" fillId="0" borderId="5" xfId="0" applyFont="1" applyFill="1" applyBorder="1" applyAlignment="1" applyProtection="1">
      <alignment vertical="center" wrapText="1"/>
      <protection hidden="1"/>
    </xf>
    <xf numFmtId="0" fontId="53" fillId="0" borderId="40" xfId="0" applyFont="1" applyFill="1" applyBorder="1" applyAlignment="1" applyProtection="1">
      <alignment vertical="center" wrapText="1"/>
      <protection hidden="1"/>
    </xf>
    <xf numFmtId="0" fontId="53" fillId="0" borderId="0" xfId="0" applyFont="1" applyFill="1" applyBorder="1" applyAlignment="1" applyProtection="1">
      <alignment vertical="center" wrapText="1"/>
      <protection hidden="1"/>
    </xf>
    <xf numFmtId="167" fontId="2" fillId="6" borderId="9" xfId="0" applyNumberFormat="1" applyFont="1" applyFill="1" applyBorder="1" applyAlignment="1" applyProtection="1">
      <alignment horizontal="center" vertical="center" wrapText="1"/>
      <protection locked="0" hidden="1"/>
    </xf>
    <xf numFmtId="0" fontId="2" fillId="6" borderId="46" xfId="0" applyFont="1" applyFill="1" applyBorder="1" applyAlignment="1" applyProtection="1">
      <alignment horizontal="center" vertical="center" wrapText="1"/>
      <protection locked="0" hidden="1"/>
    </xf>
    <xf numFmtId="0" fontId="2" fillId="6" borderId="9" xfId="0" applyFont="1" applyFill="1" applyBorder="1" applyAlignment="1" applyProtection="1">
      <alignment horizontal="center" vertical="center" wrapText="1"/>
      <protection locked="0" hidden="1"/>
    </xf>
    <xf numFmtId="166" fontId="3" fillId="6" borderId="9" xfId="0" applyNumberFormat="1"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wrapText="1"/>
      <protection locked="0" hidden="1"/>
    </xf>
    <xf numFmtId="0" fontId="3" fillId="6" borderId="36" xfId="0" applyFont="1" applyFill="1" applyBorder="1" applyAlignment="1" applyProtection="1">
      <alignment horizontal="center" vertical="center" wrapText="1"/>
      <protection locked="0" hidden="1"/>
    </xf>
    <xf numFmtId="0" fontId="3" fillId="6" borderId="39" xfId="0" applyFont="1" applyFill="1" applyBorder="1" applyAlignment="1" applyProtection="1">
      <alignment horizontal="center" vertical="center" wrapText="1"/>
      <protection locked="0" hidden="1"/>
    </xf>
    <xf numFmtId="0" fontId="28" fillId="0" borderId="10" xfId="0" applyFont="1" applyFill="1" applyBorder="1" applyAlignment="1" applyProtection="1">
      <alignment vertical="center" wrapText="1"/>
      <protection locked="0" hidden="1"/>
    </xf>
    <xf numFmtId="0" fontId="28" fillId="0" borderId="0" xfId="0" applyFont="1" applyFill="1" applyBorder="1" applyAlignment="1" applyProtection="1">
      <alignment vertical="center" wrapText="1"/>
      <protection locked="0" hidden="1"/>
    </xf>
    <xf numFmtId="0" fontId="28" fillId="0" borderId="51" xfId="0" applyFont="1" applyFill="1" applyBorder="1" applyAlignment="1" applyProtection="1">
      <alignment vertical="center" wrapText="1"/>
      <protection locked="0" hidden="1"/>
    </xf>
    <xf numFmtId="0" fontId="28" fillId="0" borderId="49" xfId="0" applyFont="1" applyFill="1" applyBorder="1" applyAlignment="1" applyProtection="1">
      <alignment vertical="center" wrapText="1"/>
      <protection locked="0" hidden="1"/>
    </xf>
    <xf numFmtId="0" fontId="28" fillId="0" borderId="5" xfId="0" applyFont="1" applyFill="1" applyBorder="1" applyAlignment="1" applyProtection="1">
      <alignment vertical="center" wrapText="1"/>
      <protection locked="0" hidden="1"/>
    </xf>
    <xf numFmtId="0" fontId="28" fillId="0" borderId="40" xfId="0" applyFont="1" applyFill="1" applyBorder="1" applyAlignment="1" applyProtection="1">
      <alignment vertical="center" wrapText="1"/>
      <protection locked="0" hidden="1"/>
    </xf>
    <xf numFmtId="0" fontId="9" fillId="25" borderId="76" xfId="6" applyBorder="1" applyAlignment="1" applyProtection="1">
      <alignment horizontal="center" wrapText="1"/>
      <protection locked="0" hidden="1"/>
    </xf>
    <xf numFmtId="0" fontId="9" fillId="25" borderId="75" xfId="6" applyBorder="1" applyAlignment="1" applyProtection="1">
      <alignment horizontal="center" wrapText="1"/>
      <protection locked="0" hidden="1"/>
    </xf>
    <xf numFmtId="0" fontId="9" fillId="25" borderId="52" xfId="6" applyBorder="1" applyAlignment="1" applyProtection="1">
      <alignment horizontal="center" wrapText="1"/>
      <protection locked="0" hidden="1"/>
    </xf>
    <xf numFmtId="0" fontId="9" fillId="25" borderId="1" xfId="6" applyBorder="1" applyAlignment="1" applyProtection="1">
      <alignment horizontal="center" vertical="center"/>
      <protection locked="0" hidden="1"/>
    </xf>
    <xf numFmtId="14" fontId="28" fillId="16" borderId="22" xfId="0" applyNumberFormat="1" applyFont="1" applyFill="1" applyBorder="1" applyAlignment="1" applyProtection="1">
      <alignment horizontal="center" vertical="center" wrapText="1"/>
      <protection hidden="1"/>
    </xf>
    <xf numFmtId="0" fontId="7" fillId="17" borderId="19" xfId="0" applyFont="1" applyFill="1" applyBorder="1" applyAlignment="1" applyProtection="1">
      <alignment horizontal="left" vertical="center" wrapText="1"/>
      <protection hidden="1"/>
    </xf>
    <xf numFmtId="0" fontId="7" fillId="17" borderId="22" xfId="0" applyFont="1" applyFill="1" applyBorder="1" applyAlignment="1" applyProtection="1">
      <alignment horizontal="center" vertical="center" wrapText="1"/>
      <protection hidden="1"/>
    </xf>
    <xf numFmtId="0" fontId="7" fillId="17" borderId="22" xfId="0" applyFont="1" applyFill="1" applyBorder="1" applyAlignment="1" applyProtection="1">
      <alignment horizontal="center" vertical="top" wrapText="1"/>
      <protection hidden="1"/>
    </xf>
    <xf numFmtId="0" fontId="28" fillId="2" borderId="4" xfId="0" applyFont="1" applyFill="1" applyBorder="1" applyAlignment="1" applyProtection="1">
      <alignment horizontal="center" vertical="center" wrapText="1"/>
      <protection hidden="1"/>
    </xf>
    <xf numFmtId="0" fontId="28" fillId="2" borderId="51" xfId="0" applyFont="1" applyFill="1" applyBorder="1" applyAlignment="1" applyProtection="1">
      <alignment horizontal="center" vertical="center" wrapText="1"/>
      <protection hidden="1"/>
    </xf>
    <xf numFmtId="14" fontId="28" fillId="21" borderId="11" xfId="0" applyNumberFormat="1" applyFont="1" applyFill="1"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14" fontId="28" fillId="13" borderId="11" xfId="0" applyNumberFormat="1" applyFont="1" applyFill="1" applyBorder="1" applyAlignment="1" applyProtection="1">
      <alignment horizontal="center" vertical="center" wrapText="1"/>
      <protection hidden="1"/>
    </xf>
    <xf numFmtId="14" fontId="28" fillId="13" borderId="23" xfId="0" applyNumberFormat="1" applyFont="1" applyFill="1" applyBorder="1" applyAlignment="1" applyProtection="1">
      <alignment horizontal="center" vertical="center" wrapText="1"/>
      <protection hidden="1"/>
    </xf>
    <xf numFmtId="0" fontId="28" fillId="13" borderId="12"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left" vertical="center" wrapText="1"/>
      <protection hidden="1"/>
    </xf>
    <xf numFmtId="0" fontId="28" fillId="13" borderId="18" xfId="0" applyFont="1" applyFill="1" applyBorder="1" applyAlignment="1" applyProtection="1">
      <alignment horizontal="center" vertical="center" wrapText="1"/>
      <protection hidden="1"/>
    </xf>
    <xf numFmtId="0" fontId="28" fillId="0" borderId="66" xfId="0" applyFont="1" applyFill="1" applyBorder="1" applyAlignment="1" applyProtection="1">
      <alignment horizontal="center" vertical="center" wrapText="1"/>
      <protection hidden="1"/>
    </xf>
    <xf numFmtId="0" fontId="28" fillId="0" borderId="40"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7" fillId="17" borderId="37" xfId="0" applyFont="1" applyFill="1" applyBorder="1" applyAlignment="1" applyProtection="1">
      <alignment vertical="center" wrapText="1"/>
      <protection hidden="1"/>
    </xf>
    <xf numFmtId="0" fontId="7" fillId="17" borderId="14" xfId="0" applyFont="1" applyFill="1" applyBorder="1" applyAlignment="1" applyProtection="1">
      <alignment vertical="center" wrapText="1"/>
      <protection hidden="1"/>
    </xf>
    <xf numFmtId="0" fontId="7" fillId="17" borderId="58" xfId="0" applyFont="1" applyFill="1" applyBorder="1" applyAlignment="1" applyProtection="1">
      <alignment vertical="center" wrapText="1"/>
      <protection hidden="1"/>
    </xf>
    <xf numFmtId="0" fontId="7" fillId="17" borderId="59" xfId="0" applyFont="1" applyFill="1" applyBorder="1" applyAlignment="1" applyProtection="1">
      <alignment vertical="center" wrapText="1"/>
      <protection hidden="1"/>
    </xf>
    <xf numFmtId="0" fontId="25" fillId="17" borderId="18" xfId="0" applyFont="1" applyFill="1" applyBorder="1" applyAlignment="1" applyProtection="1">
      <alignment horizontal="center" vertical="center" wrapText="1"/>
      <protection hidden="1"/>
    </xf>
    <xf numFmtId="0" fontId="25" fillId="17" borderId="38" xfId="0" applyFont="1" applyFill="1" applyBorder="1" applyAlignment="1" applyProtection="1">
      <alignment horizontal="center" vertical="center" wrapText="1"/>
      <protection hidden="1"/>
    </xf>
    <xf numFmtId="0" fontId="28" fillId="5" borderId="32" xfId="0" applyFont="1" applyFill="1" applyBorder="1" applyAlignment="1" applyProtection="1">
      <alignment horizontal="center" vertical="center" wrapText="1"/>
      <protection hidden="1"/>
    </xf>
    <xf numFmtId="0" fontId="28" fillId="5" borderId="18" xfId="0" applyFont="1" applyFill="1" applyBorder="1" applyAlignment="1" applyProtection="1">
      <alignment horizontal="center" vertical="center" wrapText="1"/>
      <protection hidden="1"/>
    </xf>
    <xf numFmtId="0" fontId="28" fillId="5" borderId="38" xfId="0" applyFont="1" applyFill="1" applyBorder="1" applyAlignment="1" applyProtection="1">
      <alignment horizontal="center" vertical="center" wrapText="1"/>
      <protection hidden="1"/>
    </xf>
    <xf numFmtId="0" fontId="5" fillId="19" borderId="73" xfId="0" applyFont="1" applyFill="1" applyBorder="1" applyAlignment="1" applyProtection="1">
      <alignment horizontal="center" vertical="center" wrapText="1"/>
      <protection hidden="1"/>
    </xf>
    <xf numFmtId="2" fontId="7" fillId="27" borderId="1" xfId="0" applyNumberFormat="1" applyFont="1" applyFill="1" applyBorder="1" applyAlignment="1" applyProtection="1">
      <alignment horizontal="center" vertical="center" wrapText="1"/>
      <protection hidden="1"/>
    </xf>
    <xf numFmtId="0" fontId="5" fillId="19" borderId="79" xfId="0" applyFont="1" applyFill="1" applyBorder="1" applyAlignment="1" applyProtection="1">
      <alignment horizontal="center" vertical="center" wrapText="1"/>
      <protection hidden="1"/>
    </xf>
    <xf numFmtId="2" fontId="7" fillId="27" borderId="52" xfId="0" applyNumberFormat="1" applyFont="1" applyFill="1" applyBorder="1" applyAlignment="1" applyProtection="1">
      <alignment horizontal="center" vertical="center" wrapText="1"/>
      <protection hidden="1"/>
    </xf>
    <xf numFmtId="0" fontId="43" fillId="2" borderId="23" xfId="0" applyFont="1" applyFill="1" applyBorder="1" applyAlignment="1" applyProtection="1">
      <alignment horizontal="left" vertical="center" wrapText="1"/>
      <protection hidden="1"/>
    </xf>
    <xf numFmtId="0" fontId="45" fillId="2" borderId="11" xfId="0" applyFont="1" applyFill="1" applyBorder="1" applyAlignment="1" applyProtection="1">
      <alignment horizontal="center" vertical="center" wrapText="1"/>
      <protection hidden="1"/>
    </xf>
    <xf numFmtId="176" fontId="47" fillId="7" borderId="9" xfId="0" applyNumberFormat="1" applyFont="1" applyFill="1" applyBorder="1" applyAlignment="1" applyProtection="1">
      <alignment horizontal="center" vertical="center" wrapText="1"/>
      <protection hidden="1"/>
    </xf>
    <xf numFmtId="0" fontId="3" fillId="5" borderId="46" xfId="0" applyFont="1" applyFill="1" applyBorder="1" applyAlignment="1" applyProtection="1">
      <alignment horizontal="center" vertical="center" wrapText="1"/>
      <protection hidden="1"/>
    </xf>
    <xf numFmtId="168" fontId="47" fillId="7" borderId="46" xfId="0" applyNumberFormat="1" applyFont="1" applyFill="1" applyBorder="1" applyAlignment="1" applyProtection="1">
      <alignment horizontal="center" vertical="center" wrapText="1"/>
      <protection hidden="1"/>
    </xf>
    <xf numFmtId="169" fontId="47" fillId="7" borderId="46" xfId="0" applyNumberFormat="1" applyFont="1" applyFill="1" applyBorder="1" applyAlignment="1" applyProtection="1">
      <alignment horizontal="center" vertical="center" wrapText="1"/>
      <protection hidden="1"/>
    </xf>
    <xf numFmtId="173" fontId="47" fillId="7" borderId="46" xfId="0" applyNumberFormat="1" applyFont="1" applyFill="1" applyBorder="1" applyAlignment="1" applyProtection="1">
      <alignment horizontal="center" vertical="center" wrapText="1"/>
      <protection hidden="1"/>
    </xf>
    <xf numFmtId="172" fontId="47" fillId="7" borderId="46" xfId="0" applyNumberFormat="1" applyFont="1" applyFill="1" applyBorder="1" applyAlignment="1" applyProtection="1">
      <alignment horizontal="center" vertical="center" wrapText="1"/>
      <protection hidden="1"/>
    </xf>
    <xf numFmtId="164" fontId="47" fillId="7" borderId="46" xfId="0" applyNumberFormat="1" applyFont="1" applyFill="1" applyBorder="1" applyAlignment="1" applyProtection="1">
      <alignment horizontal="center" vertical="center" wrapText="1"/>
      <protection hidden="1"/>
    </xf>
    <xf numFmtId="167" fontId="3" fillId="7" borderId="36" xfId="0" applyNumberFormat="1" applyFont="1" applyFill="1" applyBorder="1" applyAlignment="1" applyProtection="1">
      <alignment horizontal="center" vertical="center" wrapText="1"/>
      <protection hidden="1"/>
    </xf>
    <xf numFmtId="0" fontId="28" fillId="6" borderId="14" xfId="0" applyFont="1" applyFill="1" applyBorder="1" applyAlignment="1" applyProtection="1">
      <alignment horizontal="center" vertical="center" wrapText="1"/>
      <protection locked="0" hidden="1"/>
    </xf>
    <xf numFmtId="0" fontId="28" fillId="6" borderId="36" xfId="0" applyFont="1" applyFill="1" applyBorder="1" applyAlignment="1" applyProtection="1">
      <alignment horizontal="center" vertical="center" wrapText="1"/>
      <protection locked="0" hidden="1"/>
    </xf>
    <xf numFmtId="0" fontId="28" fillId="6" borderId="9" xfId="0" applyFont="1" applyFill="1" applyBorder="1" applyAlignment="1" applyProtection="1">
      <alignment horizontal="center" vertical="center" wrapText="1"/>
      <protection locked="0" hidden="1"/>
    </xf>
    <xf numFmtId="1" fontId="3" fillId="6" borderId="9" xfId="0" applyNumberFormat="1" applyFont="1" applyFill="1" applyBorder="1" applyAlignment="1" applyProtection="1">
      <alignment horizontal="center" vertical="center"/>
      <protection locked="0" hidden="1"/>
    </xf>
    <xf numFmtId="1" fontId="3" fillId="6" borderId="9" xfId="0" applyNumberFormat="1" applyFont="1" applyFill="1" applyBorder="1" applyAlignment="1" applyProtection="1">
      <alignment horizontal="center" vertical="center" wrapText="1"/>
      <protection locked="0" hidden="1"/>
    </xf>
    <xf numFmtId="0" fontId="3" fillId="6" borderId="6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center" vertical="center" wrapText="1"/>
      <protection hidden="1"/>
    </xf>
    <xf numFmtId="0" fontId="9" fillId="25" borderId="1" xfId="6" applyBorder="1" applyAlignment="1" applyProtection="1">
      <alignment horizontal="center" wrapText="1"/>
      <protection locked="0" hidden="1"/>
    </xf>
    <xf numFmtId="0" fontId="9" fillId="25" borderId="1"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2" fillId="2" borderId="8" xfId="0" applyFont="1" applyFill="1" applyBorder="1" applyAlignment="1" applyProtection="1">
      <alignment vertical="center" wrapText="1"/>
      <protection hidden="1"/>
    </xf>
    <xf numFmtId="0" fontId="2" fillId="2" borderId="0" xfId="0"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wrapText="1"/>
      <protection hidden="1"/>
    </xf>
    <xf numFmtId="0" fontId="2" fillId="2" borderId="0" xfId="0" applyFont="1" applyFill="1" applyProtection="1">
      <protection hidden="1"/>
    </xf>
    <xf numFmtId="11" fontId="2" fillId="2" borderId="0" xfId="0" applyNumberFormat="1" applyFont="1" applyFill="1" applyBorder="1" applyAlignment="1" applyProtection="1">
      <alignment horizontal="center" vertical="center"/>
      <protection hidden="1"/>
    </xf>
    <xf numFmtId="0" fontId="7" fillId="22" borderId="7" xfId="0" applyFont="1" applyFill="1" applyBorder="1" applyAlignment="1" applyProtection="1">
      <alignment horizontal="center" vertical="center" wrapText="1"/>
      <protection hidden="1"/>
    </xf>
    <xf numFmtId="0" fontId="7" fillId="22" borderId="22" xfId="0" applyFont="1" applyFill="1" applyBorder="1" applyAlignment="1" applyProtection="1">
      <alignment horizontal="center" vertical="center" wrapText="1"/>
      <protection hidden="1"/>
    </xf>
    <xf numFmtId="0" fontId="7" fillId="22" borderId="20" xfId="0" applyFont="1" applyFill="1" applyBorder="1" applyAlignment="1" applyProtection="1">
      <alignment horizontal="center" vertical="center" wrapText="1"/>
      <protection hidden="1"/>
    </xf>
    <xf numFmtId="0" fontId="2" fillId="22" borderId="8" xfId="0" applyFont="1" applyFill="1" applyBorder="1" applyAlignment="1" applyProtection="1">
      <alignment horizontal="center" vertical="center"/>
      <protection hidden="1"/>
    </xf>
    <xf numFmtId="1" fontId="28" fillId="6" borderId="29" xfId="0" applyNumberFormat="1" applyFont="1" applyFill="1" applyBorder="1" applyAlignment="1" applyProtection="1">
      <alignment horizontal="center" vertical="center" wrapText="1"/>
      <protection hidden="1"/>
    </xf>
    <xf numFmtId="0" fontId="2" fillId="2" borderId="0" xfId="1" applyFont="1" applyFill="1" applyBorder="1" applyAlignment="1" applyProtection="1">
      <alignment horizontal="center" vertical="center"/>
      <protection hidden="1"/>
    </xf>
    <xf numFmtId="11" fontId="2" fillId="2" borderId="0" xfId="1" applyNumberFormat="1" applyFont="1" applyFill="1" applyBorder="1" applyAlignment="1" applyProtection="1">
      <alignment horizontal="center" vertical="center"/>
      <protection hidden="1"/>
    </xf>
    <xf numFmtId="1" fontId="28" fillId="16" borderId="19" xfId="0" applyNumberFormat="1" applyFont="1" applyFill="1" applyBorder="1" applyAlignment="1" applyProtection="1">
      <alignment horizontal="center" vertical="center" wrapText="1"/>
      <protection hidden="1"/>
    </xf>
    <xf numFmtId="0" fontId="2" fillId="20" borderId="7" xfId="0" applyFont="1" applyFill="1" applyBorder="1" applyAlignment="1" applyProtection="1">
      <alignment horizontal="center" vertical="center"/>
      <protection hidden="1"/>
    </xf>
    <xf numFmtId="2" fontId="28" fillId="20" borderId="22" xfId="0" applyNumberFormat="1" applyFont="1" applyFill="1" applyBorder="1" applyAlignment="1" applyProtection="1">
      <alignment horizontal="center" vertical="center" wrapText="1"/>
      <protection hidden="1"/>
    </xf>
    <xf numFmtId="1" fontId="28" fillId="16" borderId="22" xfId="0" applyNumberFormat="1" applyFont="1" applyFill="1" applyBorder="1" applyAlignment="1" applyProtection="1">
      <alignment horizontal="center" vertical="center" wrapText="1"/>
      <protection hidden="1"/>
    </xf>
    <xf numFmtId="167" fontId="28" fillId="16" borderId="22" xfId="0" applyNumberFormat="1" applyFont="1" applyFill="1" applyBorder="1" applyAlignment="1" applyProtection="1">
      <alignment horizontal="center" vertical="center" wrapText="1"/>
      <protection hidden="1"/>
    </xf>
    <xf numFmtId="167" fontId="28" fillId="20" borderId="20" xfId="0" applyNumberFormat="1" applyFont="1" applyFill="1" applyBorder="1" applyAlignment="1" applyProtection="1">
      <alignment horizontal="center" vertical="center" wrapText="1"/>
      <protection hidden="1"/>
    </xf>
    <xf numFmtId="1" fontId="2" fillId="20" borderId="8" xfId="0" applyNumberFormat="1" applyFont="1" applyFill="1" applyBorder="1" applyAlignment="1" applyProtection="1">
      <alignment horizontal="center" vertic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0" fontId="2" fillId="2" borderId="10" xfId="0" applyFont="1" applyFill="1" applyBorder="1" applyProtection="1">
      <protection hidden="1"/>
    </xf>
    <xf numFmtId="0" fontId="2" fillId="2" borderId="0" xfId="0" applyFont="1" applyFill="1" applyBorder="1" applyProtection="1">
      <protection hidden="1"/>
    </xf>
    <xf numFmtId="0" fontId="2" fillId="0" borderId="2"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1" fillId="2" borderId="80" xfId="0" applyFont="1" applyFill="1" applyBorder="1" applyAlignment="1" applyProtection="1">
      <alignment horizontal="right"/>
      <protection hidden="1"/>
    </xf>
    <xf numFmtId="0" fontId="2" fillId="2" borderId="0" xfId="0" applyFont="1" applyFill="1" applyBorder="1" applyAlignment="1" applyProtection="1">
      <alignment horizontal="right" vertical="top"/>
      <protection hidden="1"/>
    </xf>
    <xf numFmtId="2" fontId="2" fillId="13" borderId="9" xfId="0" applyNumberFormat="1" applyFont="1" applyFill="1" applyBorder="1" applyAlignment="1" applyProtection="1">
      <alignment horizontal="center" vertical="center"/>
      <protection hidden="1"/>
    </xf>
    <xf numFmtId="2" fontId="2" fillId="5" borderId="36" xfId="0" applyNumberFormat="1" applyFont="1" applyFill="1" applyBorder="1" applyAlignment="1" applyProtection="1">
      <alignment horizontal="center" vertical="center"/>
      <protection hidden="1"/>
    </xf>
    <xf numFmtId="2" fontId="28" fillId="16" borderId="58" xfId="0" applyNumberFormat="1" applyFont="1" applyFill="1" applyBorder="1" applyAlignment="1" applyProtection="1">
      <alignment vertical="center" wrapText="1"/>
      <protection hidden="1"/>
    </xf>
    <xf numFmtId="2" fontId="28" fillId="16" borderId="59" xfId="0" applyNumberFormat="1" applyFont="1" applyFill="1" applyBorder="1" applyAlignment="1" applyProtection="1">
      <alignment vertical="center" wrapText="1"/>
      <protection hidden="1"/>
    </xf>
    <xf numFmtId="1" fontId="28" fillId="16" borderId="57" xfId="0" applyNumberFormat="1" applyFont="1" applyFill="1" applyBorder="1" applyAlignment="1" applyProtection="1">
      <alignment vertical="center" wrapText="1"/>
      <protection hidden="1"/>
    </xf>
    <xf numFmtId="1" fontId="28" fillId="16" borderId="63" xfId="0" applyNumberFormat="1" applyFont="1" applyFill="1" applyBorder="1" applyAlignment="1" applyProtection="1">
      <alignment vertical="center" wrapText="1"/>
      <protection hidden="1"/>
    </xf>
    <xf numFmtId="0" fontId="1" fillId="5" borderId="45" xfId="0" applyFont="1" applyFill="1" applyBorder="1" applyAlignment="1" applyProtection="1">
      <alignment horizontal="center" vertical="center"/>
      <protection hidden="1"/>
    </xf>
    <xf numFmtId="0" fontId="2" fillId="13" borderId="39" xfId="0" applyFont="1" applyFill="1" applyBorder="1" applyAlignment="1" applyProtection="1">
      <alignment horizontal="center" vertical="center"/>
      <protection hidden="1"/>
    </xf>
    <xf numFmtId="0" fontId="1" fillId="2" borderId="81" xfId="0" applyFont="1" applyFill="1" applyBorder="1" applyAlignment="1" applyProtection="1">
      <alignment horizontal="right"/>
      <protection hidden="1"/>
    </xf>
    <xf numFmtId="0" fontId="2" fillId="2" borderId="82" xfId="0" applyFont="1" applyFill="1" applyBorder="1" applyAlignment="1" applyProtection="1">
      <alignment horizontal="right" vertical="top"/>
      <protection hidden="1"/>
    </xf>
    <xf numFmtId="0" fontId="2" fillId="2" borderId="5" xfId="0" applyFont="1" applyFill="1" applyBorder="1" applyProtection="1">
      <protection hidden="1"/>
    </xf>
    <xf numFmtId="0" fontId="1" fillId="2" borderId="5" xfId="0" applyFont="1" applyFill="1" applyBorder="1" applyAlignment="1" applyProtection="1">
      <alignment horizontal="center"/>
      <protection hidden="1"/>
    </xf>
    <xf numFmtId="2" fontId="2" fillId="13" borderId="46" xfId="0" applyNumberFormat="1" applyFont="1" applyFill="1" applyBorder="1" applyAlignment="1" applyProtection="1">
      <alignment horizontal="center" vertical="center"/>
      <protection hidden="1"/>
    </xf>
    <xf numFmtId="2" fontId="2" fillId="5" borderId="39" xfId="0" applyNumberFormat="1" applyFont="1" applyFill="1" applyBorder="1" applyAlignment="1" applyProtection="1">
      <alignment horizontal="center" vertical="center"/>
      <protection hidden="1"/>
    </xf>
    <xf numFmtId="0" fontId="1" fillId="2" borderId="7" xfId="0" applyFont="1" applyFill="1" applyBorder="1" applyAlignment="1" applyProtection="1">
      <alignment horizontal="right"/>
      <protection hidden="1"/>
    </xf>
    <xf numFmtId="0" fontId="63" fillId="4" borderId="32" xfId="0" applyFont="1" applyFill="1" applyBorder="1" applyAlignment="1" applyProtection="1">
      <alignment horizontal="center" vertical="center" wrapText="1"/>
      <protection hidden="1"/>
    </xf>
    <xf numFmtId="2" fontId="2" fillId="13" borderId="55" xfId="0" applyNumberFormat="1" applyFont="1" applyFill="1" applyBorder="1" applyAlignment="1" applyProtection="1">
      <alignment horizontal="center" vertical="center"/>
      <protection hidden="1"/>
    </xf>
    <xf numFmtId="2" fontId="2" fillId="14" borderId="38" xfId="0" applyNumberFormat="1" applyFont="1" applyFill="1" applyBorder="1" applyAlignment="1" applyProtection="1">
      <alignment horizontal="center" vertical="center"/>
      <protection hidden="1"/>
    </xf>
    <xf numFmtId="0" fontId="4" fillId="4" borderId="34" xfId="0" applyFont="1" applyFill="1" applyBorder="1" applyAlignment="1" applyProtection="1">
      <alignment vertical="top" wrapText="1"/>
      <protection hidden="1"/>
    </xf>
    <xf numFmtId="165" fontId="2" fillId="13" borderId="36" xfId="0" applyNumberFormat="1" applyFont="1" applyFill="1" applyBorder="1" applyAlignment="1" applyProtection="1">
      <alignment horizontal="center" vertical="center"/>
      <protection hidden="1"/>
    </xf>
    <xf numFmtId="0" fontId="2" fillId="2" borderId="0" xfId="1" applyFont="1" applyFill="1" applyBorder="1" applyAlignment="1" applyProtection="1">
      <protection hidden="1"/>
    </xf>
    <xf numFmtId="0" fontId="4" fillId="4" borderId="45" xfId="0" applyFont="1" applyFill="1" applyBorder="1" applyAlignment="1" applyProtection="1">
      <alignment vertical="center" wrapText="1"/>
      <protection hidden="1"/>
    </xf>
    <xf numFmtId="2" fontId="2" fillId="14" borderId="39" xfId="0" applyNumberFormat="1" applyFont="1" applyFill="1" applyBorder="1" applyAlignment="1" applyProtection="1">
      <alignment horizontal="center" vertical="center"/>
      <protection hidden="1"/>
    </xf>
    <xf numFmtId="167" fontId="2" fillId="2" borderId="0" xfId="1" applyNumberFormat="1" applyFont="1" applyFill="1" applyBorder="1" applyProtection="1">
      <protection hidden="1"/>
    </xf>
    <xf numFmtId="9" fontId="2" fillId="2" borderId="0" xfId="0" applyNumberFormat="1" applyFont="1" applyFill="1" applyBorder="1" applyAlignment="1" applyProtection="1">
      <alignment horizontal="center" vertical="center"/>
      <protection hidden="1"/>
    </xf>
    <xf numFmtId="0" fontId="2" fillId="5" borderId="32" xfId="1" applyFont="1" applyFill="1" applyBorder="1" applyAlignment="1" applyProtection="1">
      <alignment horizontal="center" vertical="center"/>
      <protection hidden="1"/>
    </xf>
    <xf numFmtId="0" fontId="2" fillId="5" borderId="18" xfId="1" applyFont="1" applyFill="1" applyBorder="1" applyAlignment="1" applyProtection="1">
      <alignment horizontal="center" vertical="center"/>
      <protection hidden="1"/>
    </xf>
    <xf numFmtId="0" fontId="1" fillId="5" borderId="72" xfId="0" applyFont="1" applyFill="1" applyBorder="1" applyAlignment="1" applyProtection="1">
      <alignment horizontal="center" vertical="center" wrapText="1"/>
      <protection hidden="1"/>
    </xf>
    <xf numFmtId="0" fontId="1" fillId="5" borderId="72"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166" fontId="2" fillId="2" borderId="5" xfId="0" applyNumberFormat="1" applyFont="1" applyFill="1" applyBorder="1" applyProtection="1">
      <protection hidden="1"/>
    </xf>
    <xf numFmtId="0" fontId="1" fillId="4" borderId="50" xfId="0" applyFont="1" applyFill="1" applyBorder="1" applyAlignment="1" applyProtection="1">
      <alignment horizontal="center" vertical="center" wrapText="1"/>
      <protection hidden="1"/>
    </xf>
    <xf numFmtId="165" fontId="2" fillId="13" borderId="20" xfId="0" applyNumberFormat="1"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5" borderId="34"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2" fontId="2" fillId="13" borderId="42" xfId="0" applyNumberFormat="1"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protection hidden="1"/>
    </xf>
    <xf numFmtId="0" fontId="1" fillId="4" borderId="27" xfId="0" applyFont="1" applyFill="1" applyBorder="1" applyAlignment="1" applyProtection="1">
      <alignment horizontal="center" vertical="center" wrapText="1"/>
      <protection hidden="1"/>
    </xf>
    <xf numFmtId="2" fontId="2" fillId="14" borderId="62" xfId="0" applyNumberFormat="1" applyFont="1" applyFill="1" applyBorder="1" applyAlignment="1" applyProtection="1">
      <alignment horizontal="center" vertical="center"/>
      <protection hidden="1"/>
    </xf>
    <xf numFmtId="0" fontId="1" fillId="5" borderId="45" xfId="0" applyFont="1" applyFill="1" applyBorder="1" applyAlignment="1" applyProtection="1">
      <alignment horizontal="center" vertical="center" wrapText="1"/>
      <protection hidden="1"/>
    </xf>
    <xf numFmtId="0" fontId="2" fillId="7" borderId="46" xfId="0" applyFont="1" applyFill="1" applyBorder="1" applyAlignment="1" applyProtection="1">
      <alignment horizontal="center" vertical="center" wrapText="1"/>
      <protection hidden="1"/>
    </xf>
    <xf numFmtId="0" fontId="1" fillId="4" borderId="59" xfId="0" applyFont="1" applyFill="1" applyBorder="1" applyAlignment="1" applyProtection="1">
      <alignment horizontal="center" vertical="center" wrapText="1"/>
      <protection hidden="1"/>
    </xf>
    <xf numFmtId="0" fontId="1" fillId="5" borderId="73" xfId="0" applyFont="1" applyFill="1" applyBorder="1" applyAlignment="1" applyProtection="1">
      <alignment horizontal="center" vertical="center" wrapText="1"/>
      <protection hidden="1"/>
    </xf>
    <xf numFmtId="166" fontId="2" fillId="13" borderId="4" xfId="0" applyNumberFormat="1" applyFont="1" applyFill="1" applyBorder="1" applyAlignment="1" applyProtection="1">
      <alignment horizontal="center" vertical="center"/>
      <protection hidden="1"/>
    </xf>
    <xf numFmtId="0" fontId="2" fillId="2" borderId="2" xfId="0" applyFont="1" applyFill="1" applyBorder="1" applyAlignment="1" applyProtection="1">
      <protection hidden="1"/>
    </xf>
    <xf numFmtId="0" fontId="2" fillId="2" borderId="3" xfId="0" applyFont="1" applyFill="1" applyBorder="1" applyAlignment="1" applyProtection="1">
      <protection hidden="1"/>
    </xf>
    <xf numFmtId="0" fontId="1" fillId="5" borderId="74" xfId="0" applyFont="1" applyFill="1" applyBorder="1" applyAlignment="1" applyProtection="1">
      <alignment horizontal="center" vertical="center"/>
      <protection hidden="1"/>
    </xf>
    <xf numFmtId="2" fontId="2" fillId="14" borderId="8" xfId="0" applyNumberFormat="1" applyFont="1" applyFill="1" applyBorder="1" applyAlignment="1" applyProtection="1">
      <alignment horizontal="center" vertical="center"/>
      <protection hidden="1"/>
    </xf>
    <xf numFmtId="0" fontId="2" fillId="2" borderId="49" xfId="0" applyFont="1" applyFill="1" applyBorder="1" applyAlignment="1" applyProtection="1">
      <protection hidden="1"/>
    </xf>
    <xf numFmtId="0" fontId="2" fillId="2" borderId="5" xfId="0" applyFont="1" applyFill="1" applyBorder="1" applyAlignment="1" applyProtection="1">
      <protection hidden="1"/>
    </xf>
    <xf numFmtId="0" fontId="1" fillId="2" borderId="0" xfId="0" applyFont="1" applyFill="1" applyBorder="1" applyAlignment="1" applyProtection="1">
      <alignment horizontal="center" vertical="center"/>
      <protection hidden="1"/>
    </xf>
    <xf numFmtId="166" fontId="2" fillId="2" borderId="0"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1" fillId="2" borderId="51"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vertical="center" wrapText="1"/>
      <protection hidden="1"/>
    </xf>
    <xf numFmtId="0" fontId="2" fillId="5" borderId="16" xfId="0" applyFont="1" applyFill="1" applyBorder="1" applyAlignment="1" applyProtection="1">
      <alignment vertical="center" wrapText="1"/>
      <protection hidden="1"/>
    </xf>
    <xf numFmtId="164" fontId="2" fillId="7" borderId="24" xfId="0" applyNumberFormat="1" applyFont="1" applyFill="1" applyBorder="1" applyAlignment="1" applyProtection="1">
      <alignment horizontal="center" vertical="center" wrapText="1"/>
      <protection hidden="1"/>
    </xf>
    <xf numFmtId="169" fontId="2" fillId="5" borderId="51"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64" fontId="2" fillId="2" borderId="0" xfId="0" applyNumberFormat="1" applyFont="1" applyFill="1" applyBorder="1" applyAlignment="1" applyProtection="1">
      <alignment vertical="center" wrapText="1"/>
      <protection hidden="1"/>
    </xf>
    <xf numFmtId="169" fontId="1" fillId="2" borderId="51" xfId="0" applyNumberFormat="1" applyFont="1" applyFill="1" applyBorder="1" applyAlignment="1" applyProtection="1">
      <alignment vertical="center"/>
      <protection hidden="1"/>
    </xf>
    <xf numFmtId="169" fontId="2" fillId="2" borderId="51" xfId="0" applyNumberFormat="1" applyFont="1" applyFill="1" applyBorder="1" applyAlignment="1" applyProtection="1">
      <alignment vertical="center" wrapText="1"/>
      <protection hidden="1"/>
    </xf>
    <xf numFmtId="0" fontId="2" fillId="0" borderId="10" xfId="0" applyFont="1" applyBorder="1" applyAlignment="1" applyProtection="1">
      <alignment vertical="center" wrapText="1"/>
      <protection hidden="1"/>
    </xf>
    <xf numFmtId="1" fontId="2" fillId="2" borderId="0" xfId="0" applyNumberFormat="1" applyFont="1" applyFill="1" applyBorder="1" applyAlignment="1" applyProtection="1">
      <alignment vertical="center" wrapText="1"/>
      <protection hidden="1"/>
    </xf>
    <xf numFmtId="0"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vertical="center" wrapText="1"/>
      <protection hidden="1"/>
    </xf>
    <xf numFmtId="0" fontId="2" fillId="5" borderId="49"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wrapText="1"/>
      <protection hidden="1"/>
    </xf>
    <xf numFmtId="0" fontId="2" fillId="5" borderId="5" xfId="0" applyFont="1" applyFill="1" applyBorder="1" applyAlignment="1" applyProtection="1">
      <alignment vertical="center" wrapText="1"/>
      <protection hidden="1"/>
    </xf>
    <xf numFmtId="0" fontId="2" fillId="5" borderId="67" xfId="0" applyFont="1" applyFill="1" applyBorder="1" applyAlignment="1" applyProtection="1">
      <alignment vertical="center" wrapText="1"/>
      <protection hidden="1"/>
    </xf>
    <xf numFmtId="164" fontId="2" fillId="7" borderId="48" xfId="0" applyNumberFormat="1" applyFont="1" applyFill="1" applyBorder="1" applyAlignment="1" applyProtection="1">
      <alignment horizontal="center" vertical="center" wrapText="1"/>
      <protection hidden="1"/>
    </xf>
    <xf numFmtId="169" fontId="2" fillId="5" borderId="40" xfId="0" applyNumberFormat="1"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166" fontId="2" fillId="5" borderId="3" xfId="0" applyNumberFormat="1"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14" fontId="2" fillId="5" borderId="9" xfId="0" applyNumberFormat="1" applyFont="1" applyFill="1" applyBorder="1" applyAlignment="1" applyProtection="1">
      <alignment horizontal="center" vertical="center" wrapText="1"/>
      <protection hidden="1"/>
    </xf>
    <xf numFmtId="0" fontId="2" fillId="0" borderId="42" xfId="0" applyFont="1" applyFill="1" applyBorder="1" applyAlignment="1" applyProtection="1">
      <alignment vertical="center" wrapText="1"/>
      <protection hidden="1"/>
    </xf>
    <xf numFmtId="0" fontId="2" fillId="0" borderId="42" xfId="0" applyFont="1" applyFill="1" applyBorder="1" applyAlignment="1" applyProtection="1">
      <alignment horizontal="center" vertical="center" wrapText="1"/>
      <protection hidden="1"/>
    </xf>
    <xf numFmtId="0" fontId="2" fillId="2" borderId="42" xfId="0" applyFont="1" applyFill="1" applyBorder="1" applyAlignment="1" applyProtection="1">
      <alignment vertical="center" wrapText="1"/>
      <protection hidden="1"/>
    </xf>
    <xf numFmtId="0" fontId="2" fillId="2" borderId="43" xfId="0" applyFont="1" applyFill="1" applyBorder="1" applyAlignment="1" applyProtection="1">
      <alignment vertical="center" wrapText="1"/>
      <protection hidden="1"/>
    </xf>
    <xf numFmtId="0" fontId="2" fillId="5" borderId="9" xfId="0" applyFont="1" applyFill="1" applyBorder="1" applyAlignment="1" applyProtection="1">
      <alignment horizontal="center" vertical="center" wrapText="1"/>
      <protection hidden="1"/>
    </xf>
    <xf numFmtId="167" fontId="2" fillId="5" borderId="9" xfId="0" applyNumberFormat="1" applyFont="1" applyFill="1" applyBorder="1" applyAlignment="1" applyProtection="1">
      <alignment horizontal="center" vertical="center" wrapText="1"/>
      <protection hidden="1"/>
    </xf>
    <xf numFmtId="1" fontId="2" fillId="5" borderId="9" xfId="0" applyNumberFormat="1" applyFont="1" applyFill="1" applyBorder="1" applyAlignment="1" applyProtection="1">
      <alignment horizontal="center" vertical="center" wrapText="1"/>
      <protection hidden="1"/>
    </xf>
    <xf numFmtId="166" fontId="2" fillId="5" borderId="9" xfId="0" applyNumberFormat="1" applyFont="1" applyFill="1" applyBorder="1" applyAlignment="1" applyProtection="1">
      <alignment horizontal="center" vertical="center" wrapText="1"/>
      <protection hidden="1"/>
    </xf>
    <xf numFmtId="165" fontId="2" fillId="5" borderId="9" xfId="0" applyNumberFormat="1" applyFont="1" applyFill="1" applyBorder="1" applyAlignment="1" applyProtection="1">
      <alignment horizontal="center" vertical="center" wrapText="1"/>
      <protection hidden="1"/>
    </xf>
    <xf numFmtId="0" fontId="2" fillId="5" borderId="36" xfId="0" applyFont="1" applyFill="1" applyBorder="1" applyAlignment="1" applyProtection="1">
      <alignment horizontal="center" vertical="center" wrapText="1"/>
      <protection hidden="1"/>
    </xf>
    <xf numFmtId="2" fontId="2" fillId="5" borderId="9" xfId="0" applyNumberFormat="1" applyFont="1" applyFill="1" applyBorder="1" applyAlignment="1" applyProtection="1">
      <alignment horizontal="center" vertical="center" wrapText="1"/>
      <protection hidden="1"/>
    </xf>
    <xf numFmtId="169" fontId="2"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vertical="top" wrapText="1"/>
      <protection hidden="1"/>
    </xf>
    <xf numFmtId="0" fontId="1" fillId="2" borderId="1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14" fontId="2" fillId="2" borderId="0" xfId="0" applyNumberFormat="1" applyFont="1" applyFill="1" applyBorder="1" applyAlignment="1" applyProtection="1">
      <alignment horizontal="center" vertical="center" wrapText="1"/>
      <protection hidden="1"/>
    </xf>
    <xf numFmtId="171"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164" fontId="2" fillId="5" borderId="9" xfId="0" applyNumberFormat="1" applyFont="1" applyFill="1" applyBorder="1" applyAlignment="1" applyProtection="1">
      <alignment horizontal="center" vertical="center" wrapText="1"/>
      <protection hidden="1"/>
    </xf>
    <xf numFmtId="0" fontId="1" fillId="5" borderId="59" xfId="0" applyFont="1" applyFill="1" applyBorder="1" applyAlignment="1" applyProtection="1">
      <alignment vertical="top" wrapText="1"/>
      <protection hidden="1"/>
    </xf>
    <xf numFmtId="0" fontId="2" fillId="5" borderId="46" xfId="0" applyFont="1" applyFill="1" applyBorder="1" applyAlignment="1" applyProtection="1">
      <alignment horizontal="center" vertical="center" wrapText="1"/>
      <protection hidden="1"/>
    </xf>
    <xf numFmtId="14" fontId="2" fillId="5" borderId="46" xfId="0" applyNumberFormat="1" applyFont="1" applyFill="1" applyBorder="1" applyAlignment="1" applyProtection="1">
      <alignment horizontal="center" vertical="center" wrapText="1"/>
      <protection hidden="1"/>
    </xf>
    <xf numFmtId="165" fontId="2" fillId="5" borderId="46" xfId="0" applyNumberFormat="1" applyFont="1" applyFill="1" applyBorder="1" applyAlignment="1" applyProtection="1">
      <alignment horizontal="center" vertical="center" wrapText="1"/>
      <protection hidden="1"/>
    </xf>
    <xf numFmtId="1" fontId="2" fillId="5" borderId="46" xfId="0" applyNumberFormat="1" applyFont="1" applyFill="1" applyBorder="1" applyAlignment="1" applyProtection="1">
      <alignment horizontal="center" vertical="center" wrapText="1"/>
      <protection hidden="1"/>
    </xf>
    <xf numFmtId="169" fontId="2" fillId="5" borderId="46" xfId="0" applyNumberFormat="1" applyFont="1" applyFill="1" applyBorder="1" applyAlignment="1" applyProtection="1">
      <alignment horizontal="center" vertical="center" wrapText="1"/>
      <protection hidden="1"/>
    </xf>
    <xf numFmtId="0" fontId="2" fillId="5" borderId="39" xfId="0" applyFont="1" applyFill="1" applyBorder="1" applyAlignment="1" applyProtection="1">
      <alignment horizontal="center" vertical="center" wrapText="1"/>
      <protection hidden="1"/>
    </xf>
    <xf numFmtId="166" fontId="2" fillId="2" borderId="0" xfId="1" applyNumberFormat="1" applyFont="1" applyFill="1" applyBorder="1" applyAlignment="1" applyProtection="1">
      <alignment horizontal="center" vertical="center"/>
      <protection hidden="1"/>
    </xf>
    <xf numFmtId="0" fontId="2" fillId="2" borderId="52" xfId="0" applyFont="1" applyFill="1" applyBorder="1" applyAlignment="1" applyProtection="1">
      <alignment vertical="center" wrapText="1"/>
      <protection hidden="1"/>
    </xf>
    <xf numFmtId="0" fontId="2" fillId="5" borderId="54" xfId="0" applyFont="1" applyFill="1" applyBorder="1" applyAlignment="1" applyProtection="1">
      <alignment horizontal="center" vertical="center" wrapText="1"/>
      <protection hidden="1"/>
    </xf>
    <xf numFmtId="14" fontId="2" fillId="5" borderId="18" xfId="0" applyNumberFormat="1" applyFont="1" applyFill="1" applyBorder="1" applyAlignment="1" applyProtection="1">
      <alignment horizontal="center" vertical="center" wrapText="1"/>
      <protection hidden="1"/>
    </xf>
    <xf numFmtId="165" fontId="2" fillId="2" borderId="0" xfId="1"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2" fontId="1" fillId="7" borderId="71" xfId="0" applyNumberFormat="1" applyFont="1" applyFill="1" applyBorder="1" applyAlignment="1" applyProtection="1">
      <alignment horizontal="center" vertical="center" wrapText="1"/>
      <protection hidden="1"/>
    </xf>
    <xf numFmtId="14" fontId="2" fillId="5" borderId="12" xfId="0" applyNumberFormat="1" applyFont="1" applyFill="1" applyBorder="1" applyAlignment="1" applyProtection="1">
      <alignment horizontal="center" vertical="center" wrapText="1"/>
      <protection hidden="1"/>
    </xf>
    <xf numFmtId="0" fontId="2" fillId="7" borderId="37" xfId="0" applyFont="1" applyFill="1" applyBorder="1" applyAlignment="1" applyProtection="1">
      <alignment horizontal="center" vertical="center" wrapText="1"/>
      <protection hidden="1"/>
    </xf>
    <xf numFmtId="166" fontId="2" fillId="2" borderId="2" xfId="0" applyNumberFormat="1" applyFont="1" applyFill="1" applyBorder="1" applyAlignment="1" applyProtection="1">
      <alignment horizontal="center" vertical="center"/>
      <protection hidden="1"/>
    </xf>
    <xf numFmtId="166" fontId="2" fillId="2" borderId="4" xfId="0" applyNumberFormat="1" applyFont="1" applyFill="1" applyBorder="1" applyAlignment="1" applyProtection="1">
      <alignment horizontal="center" vertical="center"/>
      <protection hidden="1"/>
    </xf>
    <xf numFmtId="2" fontId="2" fillId="2" borderId="0" xfId="0" applyNumberFormat="1" applyFont="1" applyFill="1" applyBorder="1" applyProtection="1">
      <protection hidden="1"/>
    </xf>
    <xf numFmtId="0" fontId="2" fillId="2" borderId="11"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7" borderId="58" xfId="0" applyFont="1" applyFill="1" applyBorder="1" applyAlignment="1" applyProtection="1">
      <alignment vertical="center" wrapText="1"/>
      <protection hidden="1"/>
    </xf>
    <xf numFmtId="2" fontId="2" fillId="2" borderId="45" xfId="0" applyNumberFormat="1" applyFont="1" applyFill="1" applyBorder="1" applyAlignment="1" applyProtection="1">
      <alignment horizontal="center" vertical="center"/>
      <protection hidden="1"/>
    </xf>
    <xf numFmtId="2" fontId="2" fillId="2" borderId="39" xfId="0" applyNumberFormat="1" applyFont="1" applyFill="1" applyBorder="1" applyAlignment="1" applyProtection="1">
      <alignment horizontal="center" vertical="center"/>
      <protection hidden="1"/>
    </xf>
    <xf numFmtId="0" fontId="2" fillId="5" borderId="31" xfId="0" applyFont="1" applyFill="1" applyBorder="1" applyAlignment="1" applyProtection="1">
      <alignment horizontal="center" vertical="center" wrapText="1"/>
      <protection hidden="1"/>
    </xf>
    <xf numFmtId="0" fontId="2" fillId="5" borderId="4" xfId="0" applyFont="1" applyFill="1" applyBorder="1" applyAlignment="1" applyProtection="1">
      <alignment horizontal="center" vertical="center" wrapText="1"/>
      <protection hidden="1"/>
    </xf>
    <xf numFmtId="165" fontId="2" fillId="7" borderId="9" xfId="0" applyNumberFormat="1" applyFont="1" applyFill="1" applyBorder="1" applyAlignment="1" applyProtection="1">
      <alignment horizontal="center" vertical="center" wrapText="1"/>
      <protection hidden="1"/>
    </xf>
    <xf numFmtId="0" fontId="2" fillId="12" borderId="14" xfId="0" applyFont="1" applyFill="1" applyBorder="1" applyAlignment="1" applyProtection="1">
      <alignment horizontal="center" vertical="center"/>
      <protection locked="0" hidden="1"/>
    </xf>
    <xf numFmtId="0" fontId="2" fillId="12" borderId="59" xfId="0" applyFont="1" applyFill="1" applyBorder="1" applyAlignment="1" applyProtection="1">
      <alignment horizontal="center" vertical="center"/>
      <protection locked="0" hidden="1"/>
    </xf>
    <xf numFmtId="0" fontId="2" fillId="12" borderId="9" xfId="1" applyFont="1" applyFill="1" applyBorder="1" applyAlignment="1" applyProtection="1">
      <alignment horizontal="center" vertical="center"/>
      <protection locked="0" hidden="1"/>
    </xf>
    <xf numFmtId="0" fontId="2" fillId="12" borderId="46" xfId="1" applyFont="1" applyFill="1" applyBorder="1" applyAlignment="1" applyProtection="1">
      <alignment horizontal="center" vertical="center"/>
      <protection locked="0" hidden="1"/>
    </xf>
    <xf numFmtId="2" fontId="9" fillId="25" borderId="1" xfId="6" applyNumberFormat="1" applyBorder="1" applyAlignment="1" applyProtection="1">
      <alignment horizontal="center" vertical="center"/>
      <protection locked="0" hidden="1"/>
    </xf>
    <xf numFmtId="0" fontId="9" fillId="0" borderId="0" xfId="0" applyFont="1" applyAlignment="1">
      <alignment horizontal="left"/>
    </xf>
    <xf numFmtId="0" fontId="3" fillId="0" borderId="0" xfId="0" applyFont="1" applyAlignment="1">
      <alignment horizontal="left" vertical="justify" wrapText="1"/>
    </xf>
    <xf numFmtId="0" fontId="9" fillId="0" borderId="0" xfId="0" applyFont="1" applyAlignment="1">
      <alignment horizontal="left" vertical="justify" wrapText="1"/>
    </xf>
    <xf numFmtId="2" fontId="24" fillId="17" borderId="1" xfId="1" applyNumberFormat="1" applyFont="1" applyFill="1" applyBorder="1" applyAlignment="1" applyProtection="1">
      <alignment horizontal="center" vertical="center" wrapText="1"/>
      <protection hidden="1"/>
    </xf>
    <xf numFmtId="165" fontId="28" fillId="16" borderId="46" xfId="0" applyNumberFormat="1" applyFont="1" applyFill="1" applyBorder="1" applyAlignment="1" applyProtection="1">
      <alignment horizontal="center" vertical="center" wrapText="1"/>
      <protection hidden="1"/>
    </xf>
    <xf numFmtId="166" fontId="3" fillId="6" borderId="46" xfId="0" applyNumberFormat="1" applyFont="1" applyFill="1" applyBorder="1" applyAlignment="1" applyProtection="1">
      <alignment horizontal="center" vertical="center"/>
      <protection locked="0" hidden="1"/>
    </xf>
    <xf numFmtId="170" fontId="28" fillId="6" borderId="22" xfId="0" applyNumberFormat="1" applyFont="1" applyFill="1" applyBorder="1" applyAlignment="1" applyProtection="1">
      <alignment horizontal="centerContinuous" vertical="center" wrapText="1"/>
      <protection hidden="1"/>
    </xf>
    <xf numFmtId="165" fontId="71" fillId="2" borderId="1" xfId="0" applyNumberFormat="1" applyFont="1" applyFill="1" applyBorder="1" applyAlignment="1">
      <alignment horizontal="centerContinuous" vertical="center" wrapText="1"/>
    </xf>
    <xf numFmtId="0" fontId="67" fillId="26" borderId="1" xfId="0" applyFont="1" applyFill="1" applyBorder="1" applyAlignment="1" applyProtection="1">
      <alignment horizontal="center" vertical="center"/>
      <protection hidden="1"/>
    </xf>
    <xf numFmtId="0" fontId="2" fillId="7" borderId="1" xfId="0" applyFont="1" applyFill="1" applyBorder="1" applyAlignment="1" applyProtection="1">
      <alignment horizontal="center" vertical="center"/>
      <protection hidden="1"/>
    </xf>
    <xf numFmtId="0" fontId="72" fillId="28" borderId="0" xfId="6" applyFont="1" applyFill="1" applyBorder="1">
      <alignment horizontal="center"/>
    </xf>
    <xf numFmtId="0" fontId="28" fillId="13" borderId="9"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9" fillId="25" borderId="75" xfId="6" applyBorder="1" applyAlignment="1" applyProtection="1">
      <alignment horizontal="center" vertical="center" wrapText="1"/>
      <protection locked="0" hidden="1"/>
    </xf>
    <xf numFmtId="0" fontId="9" fillId="25" borderId="75" xfId="6" applyBorder="1" applyAlignment="1" applyProtection="1">
      <alignment horizontal="center" vertical="center"/>
      <protection locked="0" hidden="1"/>
    </xf>
    <xf numFmtId="0" fontId="28" fillId="13" borderId="9" xfId="0" applyFont="1" applyFill="1" applyBorder="1" applyAlignment="1" applyProtection="1">
      <alignment horizontal="center" vertical="center" wrapText="1"/>
      <protection hidden="1"/>
    </xf>
    <xf numFmtId="167" fontId="74" fillId="0" borderId="1" xfId="0" applyNumberFormat="1" applyFont="1" applyBorder="1" applyAlignment="1">
      <alignment horizontal="center" vertical="center" wrapText="1"/>
    </xf>
    <xf numFmtId="2" fontId="24" fillId="22" borderId="20" xfId="1" applyNumberFormat="1"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0" fontId="9" fillId="0" borderId="0" xfId="0" applyFont="1" applyAlignment="1">
      <alignment horizontal="center" vertical="center"/>
    </xf>
    <xf numFmtId="2" fontId="71" fillId="2" borderId="1" xfId="0" applyNumberFormat="1" applyFont="1" applyFill="1" applyBorder="1" applyAlignment="1">
      <alignment horizontal="center" vertical="center" wrapText="1"/>
    </xf>
    <xf numFmtId="14" fontId="28" fillId="6" borderId="11" xfId="0" applyNumberFormat="1" applyFont="1" applyFill="1" applyBorder="1" applyAlignment="1" applyProtection="1">
      <alignment horizontal="centerContinuous" vertical="center" wrapText="1"/>
      <protection hidden="1"/>
    </xf>
    <xf numFmtId="14" fontId="28" fillId="6" borderId="23" xfId="0" applyNumberFormat="1" applyFont="1" applyFill="1" applyBorder="1" applyAlignment="1" applyProtection="1">
      <alignment horizontal="centerContinuous" vertical="center" wrapText="1"/>
      <protection hidden="1"/>
    </xf>
    <xf numFmtId="0" fontId="9" fillId="0" borderId="0" xfId="0" applyFont="1" applyAlignment="1">
      <alignment vertical="center" wrapText="1"/>
    </xf>
    <xf numFmtId="0" fontId="76" fillId="0" borderId="0" xfId="0" applyFont="1"/>
    <xf numFmtId="0" fontId="10" fillId="0" borderId="2" xfId="0" applyFont="1" applyBorder="1" applyAlignment="1">
      <alignment horizontal="centerContinuous" vertical="center" wrapText="1"/>
    </xf>
    <xf numFmtId="0" fontId="10" fillId="0" borderId="4" xfId="0" applyFont="1" applyBorder="1" applyAlignment="1">
      <alignment horizontal="centerContinuous" vertical="center" wrapText="1"/>
    </xf>
    <xf numFmtId="0" fontId="10" fillId="0" borderId="76" xfId="0" applyFont="1" applyBorder="1" applyAlignment="1">
      <alignment horizontal="centerContinuous" vertical="center" wrapText="1"/>
    </xf>
    <xf numFmtId="180" fontId="9" fillId="0" borderId="6" xfId="0" applyNumberFormat="1" applyFont="1" applyBorder="1" applyAlignment="1">
      <alignment horizontal="centerContinuous" vertical="center" wrapText="1"/>
    </xf>
    <xf numFmtId="0" fontId="9" fillId="0" borderId="4" xfId="0" applyFont="1" applyBorder="1" applyAlignment="1">
      <alignment horizontal="centerContinuous" vertical="center" wrapText="1"/>
    </xf>
    <xf numFmtId="165" fontId="71" fillId="2" borderId="1" xfId="0" applyNumberFormat="1" applyFont="1" applyFill="1" applyBorder="1" applyAlignment="1">
      <alignment horizontal="center" vertical="center" wrapText="1"/>
    </xf>
    <xf numFmtId="2" fontId="5" fillId="7" borderId="17" xfId="0" applyNumberFormat="1" applyFont="1" applyFill="1" applyBorder="1" applyAlignment="1" applyProtection="1">
      <alignment horizontal="center" vertical="center" wrapText="1"/>
      <protection hidden="1"/>
    </xf>
    <xf numFmtId="0" fontId="28" fillId="2" borderId="76" xfId="0" applyFont="1" applyFill="1" applyBorder="1" applyAlignment="1" applyProtection="1">
      <alignment vertical="center" wrapText="1"/>
      <protection hidden="1"/>
    </xf>
    <xf numFmtId="0" fontId="56" fillId="5" borderId="71" xfId="0" applyFont="1" applyFill="1" applyBorder="1" applyAlignment="1" applyProtection="1">
      <alignment vertical="center" wrapText="1"/>
      <protection hidden="1"/>
    </xf>
    <xf numFmtId="0" fontId="77" fillId="5" borderId="74" xfId="0" applyFont="1" applyFill="1" applyBorder="1" applyAlignment="1" applyProtection="1">
      <alignment vertical="center" wrapText="1"/>
      <protection hidden="1"/>
    </xf>
    <xf numFmtId="2" fontId="5" fillId="7" borderId="15" xfId="0" applyNumberFormat="1" applyFont="1" applyFill="1" applyBorder="1" applyAlignment="1" applyProtection="1">
      <alignment horizontal="centerContinuous" vertical="center" wrapText="1"/>
      <protection hidden="1"/>
    </xf>
    <xf numFmtId="165" fontId="28" fillId="7" borderId="15" xfId="0" applyNumberFormat="1" applyFont="1" applyFill="1" applyBorder="1" applyAlignment="1" applyProtection="1">
      <alignment horizontal="centerContinuous" vertical="center" wrapText="1"/>
      <protection hidden="1"/>
    </xf>
    <xf numFmtId="165" fontId="5" fillId="7" borderId="12" xfId="0" applyNumberFormat="1" applyFont="1" applyFill="1" applyBorder="1" applyAlignment="1" applyProtection="1">
      <alignment horizontal="center" vertical="center" wrapText="1"/>
      <protection hidden="1"/>
    </xf>
    <xf numFmtId="169" fontId="5" fillId="7" borderId="51" xfId="0" applyNumberFormat="1" applyFont="1" applyFill="1" applyBorder="1" applyAlignment="1" applyProtection="1">
      <alignment horizontal="center" vertical="center" wrapText="1"/>
      <protection hidden="1"/>
    </xf>
    <xf numFmtId="2" fontId="5" fillId="7" borderId="26" xfId="0" applyNumberFormat="1" applyFont="1" applyFill="1" applyBorder="1" applyAlignment="1" applyProtection="1">
      <alignment horizontal="center" vertical="center" wrapText="1"/>
      <protection hidden="1"/>
    </xf>
    <xf numFmtId="165" fontId="5" fillId="7" borderId="27" xfId="0" applyNumberFormat="1" applyFont="1" applyFill="1" applyBorder="1" applyAlignment="1" applyProtection="1">
      <alignment horizontal="center" vertical="center" wrapText="1"/>
      <protection hidden="1"/>
    </xf>
    <xf numFmtId="167" fontId="5" fillId="7" borderId="13" xfId="0" applyNumberFormat="1" applyFont="1" applyFill="1" applyBorder="1" applyAlignment="1" applyProtection="1">
      <alignment horizontal="center" vertical="center" wrapText="1"/>
      <protection hidden="1"/>
    </xf>
    <xf numFmtId="165" fontId="5" fillId="7" borderId="26" xfId="0" applyNumberFormat="1" applyFont="1" applyFill="1" applyBorder="1" applyAlignment="1" applyProtection="1">
      <alignment horizontal="center" vertical="center" wrapText="1"/>
      <protection hidden="1"/>
    </xf>
    <xf numFmtId="0" fontId="55" fillId="5" borderId="19" xfId="0" applyFont="1" applyFill="1" applyBorder="1" applyAlignment="1" applyProtection="1">
      <alignment horizontal="center" vertical="center" wrapText="1"/>
      <protection hidden="1"/>
    </xf>
    <xf numFmtId="0" fontId="55" fillId="5" borderId="21" xfId="0" applyFont="1" applyFill="1" applyBorder="1" applyAlignment="1" applyProtection="1">
      <alignment horizontal="center" vertical="center" wrapText="1"/>
      <protection hidden="1"/>
    </xf>
    <xf numFmtId="0" fontId="14" fillId="5" borderId="8" xfId="0" applyFont="1" applyFill="1" applyBorder="1" applyAlignment="1" applyProtection="1">
      <alignment horizontal="center" vertical="center" wrapText="1"/>
      <protection hidden="1"/>
    </xf>
    <xf numFmtId="0" fontId="2" fillId="5" borderId="41" xfId="0" applyFont="1" applyFill="1" applyBorder="1" applyAlignment="1" applyProtection="1">
      <alignment horizontal="center" vertical="center" wrapText="1"/>
      <protection hidden="1"/>
    </xf>
    <xf numFmtId="0" fontId="2" fillId="5" borderId="42" xfId="0" applyFont="1" applyFill="1" applyBorder="1" applyAlignment="1" applyProtection="1">
      <alignment horizontal="center" vertical="center" wrapText="1"/>
      <protection hidden="1"/>
    </xf>
    <xf numFmtId="0" fontId="2" fillId="5" borderId="34" xfId="0" applyFont="1" applyFill="1" applyBorder="1" applyAlignment="1" applyProtection="1">
      <alignment horizontal="center" vertical="center" wrapText="1"/>
      <protection hidden="1"/>
    </xf>
    <xf numFmtId="0" fontId="2" fillId="5" borderId="45" xfId="0" applyFont="1" applyFill="1" applyBorder="1" applyAlignment="1" applyProtection="1">
      <alignment horizontal="center" vertical="center"/>
      <protection hidden="1"/>
    </xf>
    <xf numFmtId="0" fontId="55" fillId="5" borderId="22"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2" fontId="5" fillId="7" borderId="14" xfId="0" applyNumberFormat="1" applyFont="1" applyFill="1" applyBorder="1" applyAlignment="1" applyProtection="1">
      <alignment horizontal="center" vertical="center" wrapText="1"/>
      <protection hidden="1"/>
    </xf>
    <xf numFmtId="0" fontId="56" fillId="5" borderId="73" xfId="0" applyFont="1" applyFill="1" applyBorder="1" applyAlignment="1" applyProtection="1">
      <alignment vertical="center" wrapText="1"/>
      <protection hidden="1"/>
    </xf>
    <xf numFmtId="0" fontId="56" fillId="5" borderId="74" xfId="0" applyFont="1" applyFill="1" applyBorder="1" applyAlignment="1" applyProtection="1">
      <alignment vertical="center" wrapText="1"/>
      <protection hidden="1"/>
    </xf>
    <xf numFmtId="2" fontId="24" fillId="22" borderId="19" xfId="1" applyNumberFormat="1" applyFont="1" applyFill="1" applyBorder="1" applyAlignment="1" applyProtection="1">
      <alignment horizontal="center" vertical="center" wrapText="1"/>
      <protection hidden="1"/>
    </xf>
    <xf numFmtId="2" fontId="24" fillId="22" borderId="6" xfId="1" applyNumberFormat="1" applyFont="1" applyFill="1" applyBorder="1" applyAlignment="1" applyProtection="1">
      <alignment horizontal="center" vertical="center" wrapText="1"/>
      <protection hidden="1"/>
    </xf>
    <xf numFmtId="2" fontId="24" fillId="22" borderId="22" xfId="1" applyNumberFormat="1" applyFont="1" applyFill="1" applyBorder="1" applyAlignment="1" applyProtection="1">
      <alignment horizontal="center" vertical="center" wrapText="1"/>
      <protection hidden="1"/>
    </xf>
    <xf numFmtId="165" fontId="5" fillId="7" borderId="59" xfId="8" applyNumberFormat="1" applyFont="1" applyFill="1" applyBorder="1" applyAlignment="1" applyProtection="1">
      <alignment horizontal="center" vertical="center" wrapText="1"/>
      <protection hidden="1"/>
    </xf>
    <xf numFmtId="165" fontId="5" fillId="7" borderId="67" xfId="8" applyNumberFormat="1" applyFont="1" applyFill="1" applyBorder="1" applyAlignment="1" applyProtection="1">
      <alignment horizontal="center" vertical="center" wrapText="1"/>
      <protection hidden="1"/>
    </xf>
    <xf numFmtId="166" fontId="2" fillId="7" borderId="46" xfId="0" applyNumberFormat="1" applyFont="1" applyFill="1" applyBorder="1" applyAlignment="1" applyProtection="1">
      <alignment horizontal="center" vertical="center"/>
      <protection hidden="1"/>
    </xf>
    <xf numFmtId="166" fontId="10" fillId="0" borderId="6" xfId="0" applyNumberFormat="1" applyFont="1" applyBorder="1" applyAlignment="1">
      <alignment horizontal="center" vertical="center" wrapText="1"/>
    </xf>
    <xf numFmtId="166" fontId="2" fillId="7" borderId="9" xfId="0" applyNumberFormat="1" applyFont="1" applyFill="1" applyBorder="1" applyAlignment="1" applyProtection="1">
      <alignment horizontal="center" vertical="center" wrapText="1"/>
      <protection hidden="1"/>
    </xf>
    <xf numFmtId="0" fontId="2" fillId="5" borderId="28" xfId="1" applyFont="1" applyFill="1" applyBorder="1" applyAlignment="1" applyProtection="1">
      <alignment horizontal="center" wrapText="1"/>
      <protection hidden="1"/>
    </xf>
    <xf numFmtId="166" fontId="2" fillId="13" borderId="11" xfId="0" applyNumberFormat="1" applyFont="1" applyFill="1" applyBorder="1" applyAlignment="1" applyProtection="1">
      <alignment horizontal="center" vertical="center"/>
      <protection hidden="1"/>
    </xf>
    <xf numFmtId="166" fontId="2" fillId="13" borderId="57"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0" fontId="2" fillId="3" borderId="5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wrapText="1"/>
      <protection hidden="1"/>
    </xf>
    <xf numFmtId="0" fontId="78" fillId="7" borderId="36" xfId="0" applyFont="1" applyFill="1" applyBorder="1" applyAlignment="1" applyProtection="1">
      <alignment horizontal="center" vertical="center" wrapText="1"/>
      <protection hidden="1"/>
    </xf>
    <xf numFmtId="166" fontId="2" fillId="7" borderId="36" xfId="0" applyNumberFormat="1" applyFont="1" applyFill="1" applyBorder="1" applyAlignment="1" applyProtection="1">
      <alignment horizontal="center" vertical="center"/>
      <protection hidden="1"/>
    </xf>
    <xf numFmtId="0" fontId="2" fillId="7" borderId="39" xfId="0" applyFont="1" applyFill="1" applyBorder="1" applyAlignment="1" applyProtection="1">
      <alignment horizontal="center" vertical="center"/>
      <protection hidden="1"/>
    </xf>
    <xf numFmtId="164" fontId="2" fillId="7" borderId="36" xfId="0" applyNumberFormat="1" applyFont="1" applyFill="1" applyBorder="1" applyAlignment="1" applyProtection="1">
      <alignment horizontal="center" vertical="center"/>
      <protection hidden="1"/>
    </xf>
    <xf numFmtId="181" fontId="9" fillId="0" borderId="0" xfId="0" applyNumberFormat="1" applyFont="1" applyAlignment="1">
      <alignment wrapText="1"/>
    </xf>
    <xf numFmtId="166" fontId="2" fillId="5" borderId="46" xfId="0" applyNumberFormat="1" applyFont="1" applyFill="1" applyBorder="1" applyAlignment="1" applyProtection="1">
      <alignment horizontal="center" vertical="center"/>
      <protection hidden="1"/>
    </xf>
    <xf numFmtId="0" fontId="24" fillId="0" borderId="42" xfId="0" applyFont="1" applyBorder="1" applyProtection="1">
      <protection hidden="1"/>
    </xf>
    <xf numFmtId="0" fontId="26" fillId="0" borderId="42" xfId="0" applyFont="1" applyBorder="1" applyAlignment="1" applyProtection="1">
      <alignment horizontal="center" vertical="center"/>
      <protection hidden="1"/>
    </xf>
    <xf numFmtId="170" fontId="26" fillId="0" borderId="42" xfId="0" applyNumberFormat="1" applyFont="1" applyBorder="1" applyAlignment="1" applyProtection="1">
      <alignment horizontal="center" vertical="center"/>
      <protection hidden="1"/>
    </xf>
    <xf numFmtId="0" fontId="26" fillId="0" borderId="43" xfId="0" applyFont="1" applyBorder="1" applyProtection="1">
      <protection hidden="1"/>
    </xf>
    <xf numFmtId="2" fontId="4" fillId="8" borderId="1" xfId="0" applyNumberFormat="1" applyFont="1" applyFill="1" applyBorder="1" applyAlignment="1" applyProtection="1">
      <alignment horizontal="center" vertical="center" wrapText="1"/>
      <protection hidden="1"/>
    </xf>
    <xf numFmtId="166" fontId="28" fillId="13" borderId="36" xfId="0" applyNumberFormat="1" applyFont="1" applyFill="1" applyBorder="1" applyAlignment="1" applyProtection="1">
      <alignment horizontal="center" vertical="center" wrapText="1"/>
      <protection hidden="1"/>
    </xf>
    <xf numFmtId="165" fontId="5" fillId="7" borderId="17" xfId="0" applyNumberFormat="1" applyFont="1" applyFill="1" applyBorder="1" applyAlignment="1" applyProtection="1">
      <alignment horizontal="center" vertical="center" wrapText="1"/>
      <protection hidden="1"/>
    </xf>
    <xf numFmtId="0" fontId="45" fillId="5" borderId="11" xfId="0" applyFont="1" applyFill="1" applyBorder="1" applyAlignment="1" applyProtection="1">
      <alignment horizontal="center" vertical="center" wrapText="1"/>
      <protection hidden="1"/>
    </xf>
    <xf numFmtId="0" fontId="28" fillId="2" borderId="12" xfId="0" applyFont="1" applyFill="1" applyBorder="1" applyAlignment="1" applyProtection="1">
      <alignment vertical="center" wrapText="1"/>
      <protection hidden="1"/>
    </xf>
    <xf numFmtId="1" fontId="28" fillId="7" borderId="14" xfId="0" applyNumberFormat="1" applyFont="1" applyFill="1" applyBorder="1" applyAlignment="1" applyProtection="1">
      <alignment horizontal="center" vertical="center" wrapText="1"/>
      <protection hidden="1"/>
    </xf>
    <xf numFmtId="164" fontId="5" fillId="7" borderId="72" xfId="0" applyNumberFormat="1" applyFont="1" applyFill="1" applyBorder="1" applyAlignment="1" applyProtection="1">
      <alignment vertical="center" wrapText="1"/>
      <protection hidden="1"/>
    </xf>
    <xf numFmtId="164" fontId="5" fillId="7" borderId="15" xfId="0" applyNumberFormat="1" applyFont="1" applyFill="1" applyBorder="1" applyAlignment="1" applyProtection="1">
      <alignment vertical="center" wrapText="1"/>
      <protection hidden="1"/>
    </xf>
    <xf numFmtId="164" fontId="5" fillId="7" borderId="55" xfId="0" applyNumberFormat="1" applyFont="1" applyFill="1" applyBorder="1" applyAlignment="1" applyProtection="1">
      <alignment vertical="center" wrapText="1"/>
      <protection hidden="1"/>
    </xf>
    <xf numFmtId="2" fontId="4" fillId="7" borderId="79" xfId="0" applyNumberFormat="1" applyFont="1" applyFill="1" applyBorder="1" applyAlignment="1" applyProtection="1">
      <alignment horizontal="center" vertical="center" wrapText="1"/>
      <protection hidden="1"/>
    </xf>
    <xf numFmtId="167" fontId="1" fillId="7" borderId="74" xfId="0" applyNumberFormat="1" applyFont="1" applyFill="1" applyBorder="1" applyAlignment="1" applyProtection="1">
      <alignment horizontal="center" vertical="center" wrapText="1"/>
      <protection hidden="1"/>
    </xf>
    <xf numFmtId="167" fontId="1" fillId="7" borderId="79" xfId="0" applyNumberFormat="1" applyFont="1" applyFill="1" applyBorder="1" applyAlignment="1" applyProtection="1">
      <alignment horizontal="center" vertical="center" wrapText="1"/>
      <protection hidden="1"/>
    </xf>
    <xf numFmtId="167" fontId="1" fillId="7" borderId="71" xfId="0" applyNumberFormat="1" applyFont="1" applyFill="1" applyBorder="1" applyAlignment="1" applyProtection="1">
      <alignment horizontal="center" vertical="center" wrapText="1"/>
      <protection hidden="1"/>
    </xf>
    <xf numFmtId="11" fontId="2" fillId="7" borderId="9" xfId="0" applyNumberFormat="1" applyFont="1" applyFill="1" applyBorder="1" applyAlignment="1" applyProtection="1">
      <alignment horizontal="center" vertical="center" wrapText="1"/>
      <protection hidden="1"/>
    </xf>
    <xf numFmtId="14" fontId="28" fillId="6" borderId="14" xfId="0" applyNumberFormat="1" applyFont="1" applyFill="1" applyBorder="1" applyAlignment="1" applyProtection="1">
      <alignment horizontal="centerContinuous" vertical="center" wrapText="1"/>
      <protection hidden="1"/>
    </xf>
    <xf numFmtId="2" fontId="10" fillId="0" borderId="2" xfId="0" applyNumberFormat="1" applyFont="1" applyBorder="1" applyAlignment="1">
      <alignment horizontal="center" vertical="center" wrapText="1"/>
    </xf>
    <xf numFmtId="165" fontId="28" fillId="0" borderId="0" xfId="0" applyNumberFormat="1" applyFont="1" applyAlignment="1" applyProtection="1">
      <alignment vertical="center" wrapText="1"/>
      <protection hidden="1"/>
    </xf>
    <xf numFmtId="165" fontId="28" fillId="0" borderId="0" xfId="0" applyNumberFormat="1" applyFont="1" applyAlignment="1" applyProtection="1">
      <alignment horizontal="center" vertical="center" wrapText="1"/>
      <protection hidden="1"/>
    </xf>
    <xf numFmtId="166" fontId="28" fillId="0" borderId="0" xfId="0" applyNumberFormat="1" applyFont="1" applyAlignment="1" applyProtection="1">
      <alignment horizontal="center" vertical="center" wrapText="1"/>
      <protection hidden="1"/>
    </xf>
    <xf numFmtId="167" fontId="5" fillId="7" borderId="17" xfId="0" applyNumberFormat="1" applyFont="1" applyFill="1" applyBorder="1" applyAlignment="1" applyProtection="1">
      <alignment horizontal="center" vertical="center" wrapText="1"/>
      <protection hidden="1"/>
    </xf>
    <xf numFmtId="2" fontId="5" fillId="7" borderId="27" xfId="0" applyNumberFormat="1" applyFont="1" applyFill="1" applyBorder="1" applyAlignment="1" applyProtection="1">
      <alignment horizontal="center" vertical="center" wrapText="1"/>
      <protection hidden="1"/>
    </xf>
    <xf numFmtId="165" fontId="5" fillId="7" borderId="25"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166" fontId="5" fillId="7" borderId="36" xfId="0" applyNumberFormat="1" applyFont="1" applyFill="1" applyBorder="1" applyAlignment="1" applyProtection="1">
      <alignment horizontal="center" vertical="center" wrapText="1"/>
      <protection hidden="1"/>
    </xf>
    <xf numFmtId="0" fontId="80" fillId="0" borderId="4" xfId="0" applyFont="1" applyBorder="1" applyAlignment="1">
      <alignment horizontal="center" vertical="center" wrapText="1"/>
    </xf>
    <xf numFmtId="0" fontId="80" fillId="0" borderId="8" xfId="0" applyFont="1" applyBorder="1" applyAlignment="1">
      <alignment horizontal="centerContinuous" vertical="center" wrapText="1"/>
    </xf>
    <xf numFmtId="0" fontId="47" fillId="2" borderId="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81" fillId="0" borderId="0" xfId="0" applyFont="1" applyBorder="1" applyProtection="1">
      <protection hidden="1"/>
    </xf>
    <xf numFmtId="0" fontId="81" fillId="0" borderId="6" xfId="0" applyFont="1" applyBorder="1" applyProtection="1">
      <protection hidden="1"/>
    </xf>
    <xf numFmtId="0" fontId="81" fillId="0" borderId="8" xfId="0" applyFont="1" applyBorder="1" applyProtection="1">
      <protection hidden="1"/>
    </xf>
    <xf numFmtId="0" fontId="81" fillId="0" borderId="0" xfId="0" applyFont="1" applyProtection="1">
      <protection hidden="1"/>
    </xf>
    <xf numFmtId="0" fontId="22" fillId="0" borderId="0" xfId="0" applyFont="1" applyBorder="1" applyAlignment="1" applyProtection="1">
      <alignment vertical="center"/>
      <protection hidden="1"/>
    </xf>
    <xf numFmtId="170" fontId="22" fillId="0" borderId="0" xfId="0" applyNumberFormat="1" applyFont="1" applyBorder="1" applyAlignment="1" applyProtection="1">
      <alignment vertical="center"/>
      <protection hidden="1"/>
    </xf>
    <xf numFmtId="170" fontId="81" fillId="0" borderId="0" xfId="0" applyNumberFormat="1" applyFont="1" applyProtection="1">
      <protection hidden="1"/>
    </xf>
    <xf numFmtId="0" fontId="81" fillId="0" borderId="0" xfId="0" applyFont="1" applyAlignment="1" applyProtection="1">
      <alignment horizontal="center" vertical="center"/>
      <protection hidden="1"/>
    </xf>
    <xf numFmtId="0" fontId="47" fillId="0" borderId="0" xfId="0" applyFont="1" applyFill="1" applyBorder="1" applyAlignment="1" applyProtection="1">
      <alignment vertical="center"/>
      <protection hidden="1"/>
    </xf>
    <xf numFmtId="0" fontId="81" fillId="0" borderId="0" xfId="0" applyFont="1" applyFill="1" applyBorder="1" applyAlignment="1" applyProtection="1">
      <protection hidden="1"/>
    </xf>
    <xf numFmtId="0" fontId="71" fillId="0" borderId="0" xfId="0" applyFont="1" applyProtection="1">
      <protection hidden="1"/>
    </xf>
    <xf numFmtId="0" fontId="47" fillId="2" borderId="41" xfId="0" applyFont="1" applyFill="1" applyBorder="1" applyAlignment="1" applyProtection="1">
      <alignment horizontal="center"/>
      <protection hidden="1"/>
    </xf>
    <xf numFmtId="0" fontId="47" fillId="2" borderId="42" xfId="0" applyFont="1" applyFill="1" applyBorder="1" applyAlignment="1" applyProtection="1">
      <alignment horizontal="center"/>
      <protection hidden="1"/>
    </xf>
    <xf numFmtId="0" fontId="47" fillId="2" borderId="4" xfId="0" applyFont="1" applyFill="1" applyBorder="1" applyProtection="1">
      <protection hidden="1"/>
    </xf>
    <xf numFmtId="0" fontId="47" fillId="19" borderId="1" xfId="0" applyFont="1" applyFill="1" applyBorder="1" applyAlignment="1" applyProtection="1">
      <alignment horizontal="center" vertical="center"/>
      <protection hidden="1"/>
    </xf>
    <xf numFmtId="0" fontId="47" fillId="0" borderId="0" xfId="0" applyFont="1" applyBorder="1" applyProtection="1">
      <protection hidden="1"/>
    </xf>
    <xf numFmtId="0" fontId="81" fillId="0" borderId="0" xfId="0" applyFont="1" applyFill="1" applyBorder="1" applyProtection="1">
      <protection hidden="1"/>
    </xf>
    <xf numFmtId="0" fontId="81" fillId="0" borderId="0" xfId="0" applyFont="1" applyFill="1" applyProtection="1">
      <protection hidden="1"/>
    </xf>
    <xf numFmtId="0" fontId="47" fillId="2" borderId="34" xfId="0" applyFont="1" applyFill="1" applyBorder="1" applyAlignment="1" applyProtection="1">
      <alignment horizontal="center" vertical="center"/>
      <protection hidden="1"/>
    </xf>
    <xf numFmtId="0" fontId="47" fillId="2" borderId="9" xfId="0" applyFont="1" applyFill="1" applyBorder="1" applyAlignment="1" applyProtection="1">
      <alignment horizontal="center" vertical="center"/>
      <protection hidden="1"/>
    </xf>
    <xf numFmtId="170" fontId="47" fillId="2" borderId="9" xfId="0" applyNumberFormat="1" applyFont="1" applyFill="1" applyBorder="1" applyAlignment="1" applyProtection="1">
      <alignment horizontal="center" vertical="center"/>
      <protection hidden="1"/>
    </xf>
    <xf numFmtId="0" fontId="47" fillId="2" borderId="9" xfId="0" applyFont="1" applyFill="1" applyBorder="1" applyAlignment="1" applyProtection="1">
      <alignment horizontal="center" vertical="center" wrapText="1"/>
      <protection hidden="1"/>
    </xf>
    <xf numFmtId="0" fontId="47" fillId="2" borderId="36" xfId="0" applyFont="1" applyFill="1" applyBorder="1" applyAlignment="1" applyProtection="1">
      <alignment horizontal="center" vertical="center"/>
      <protection hidden="1"/>
    </xf>
    <xf numFmtId="0" fontId="47" fillId="0" borderId="41" xfId="0" applyFont="1" applyFill="1" applyBorder="1" applyAlignment="1" applyProtection="1">
      <alignment horizontal="center" vertical="center"/>
      <protection hidden="1"/>
    </xf>
    <xf numFmtId="0" fontId="47" fillId="2" borderId="45" xfId="0" applyFont="1" applyFill="1" applyBorder="1" applyAlignment="1" applyProtection="1">
      <alignment horizontal="center"/>
      <protection hidden="1"/>
    </xf>
    <xf numFmtId="0" fontId="47" fillId="2" borderId="46" xfId="0" applyFont="1" applyFill="1" applyBorder="1" applyAlignment="1" applyProtection="1">
      <alignment horizontal="center"/>
      <protection hidden="1"/>
    </xf>
    <xf numFmtId="170" fontId="47" fillId="2" borderId="46" xfId="0" applyNumberFormat="1" applyFont="1" applyFill="1" applyBorder="1" applyAlignment="1" applyProtection="1">
      <alignment horizontal="center"/>
      <protection hidden="1"/>
    </xf>
    <xf numFmtId="0" fontId="47" fillId="2" borderId="39" xfId="0" applyFont="1" applyFill="1" applyBorder="1" applyAlignment="1" applyProtection="1">
      <alignment horizontal="center"/>
      <protection hidden="1"/>
    </xf>
    <xf numFmtId="0" fontId="47" fillId="0" borderId="34" xfId="0" applyFont="1" applyFill="1" applyBorder="1" applyAlignment="1" applyProtection="1">
      <alignment horizontal="center" vertical="center"/>
      <protection hidden="1"/>
    </xf>
    <xf numFmtId="2" fontId="47" fillId="0" borderId="9" xfId="0" applyNumberFormat="1" applyFont="1" applyFill="1" applyBorder="1" applyAlignment="1" applyProtection="1">
      <alignment vertical="center"/>
      <protection hidden="1"/>
    </xf>
    <xf numFmtId="0" fontId="47" fillId="0" borderId="9" xfId="0" applyFont="1" applyFill="1" applyBorder="1" applyAlignment="1" applyProtection="1">
      <alignment vertical="center"/>
      <protection hidden="1"/>
    </xf>
    <xf numFmtId="0" fontId="47" fillId="0" borderId="11" xfId="0" applyFont="1" applyFill="1" applyBorder="1" applyAlignment="1" applyProtection="1">
      <alignment vertical="center"/>
      <protection hidden="1"/>
    </xf>
    <xf numFmtId="0" fontId="47" fillId="0" borderId="23" xfId="0" applyFont="1" applyFill="1" applyBorder="1" applyAlignment="1" applyProtection="1">
      <alignment vertical="center"/>
      <protection hidden="1"/>
    </xf>
    <xf numFmtId="0" fontId="47" fillId="0" borderId="35" xfId="0" applyFont="1" applyFill="1" applyBorder="1" applyAlignment="1" applyProtection="1">
      <alignment vertical="center"/>
      <protection hidden="1"/>
    </xf>
    <xf numFmtId="0" fontId="47" fillId="0" borderId="0" xfId="0" applyFont="1" applyFill="1" applyBorder="1" applyAlignment="1" applyProtection="1">
      <alignment horizontal="center"/>
      <protection hidden="1"/>
    </xf>
    <xf numFmtId="0" fontId="47" fillId="0" borderId="0" xfId="0" applyFont="1" applyBorder="1" applyAlignment="1" applyProtection="1">
      <alignment horizontal="center"/>
      <protection hidden="1"/>
    </xf>
    <xf numFmtId="170" fontId="47" fillId="0" borderId="0" xfId="0" applyNumberFormat="1" applyFont="1" applyFill="1" applyBorder="1" applyAlignment="1" applyProtection="1">
      <alignment horizontal="center"/>
      <protection hidden="1"/>
    </xf>
    <xf numFmtId="0" fontId="47" fillId="0" borderId="36" xfId="0" applyFont="1" applyFill="1" applyBorder="1" applyAlignment="1" applyProtection="1">
      <alignment vertical="center"/>
      <protection hidden="1"/>
    </xf>
    <xf numFmtId="0" fontId="47" fillId="0" borderId="45" xfId="0" applyFont="1" applyFill="1" applyBorder="1" applyAlignment="1" applyProtection="1">
      <alignment horizontal="center" vertical="center"/>
      <protection hidden="1"/>
    </xf>
    <xf numFmtId="2" fontId="47" fillId="0" borderId="46" xfId="0" applyNumberFormat="1" applyFont="1" applyFill="1" applyBorder="1" applyAlignment="1" applyProtection="1">
      <alignment vertical="center"/>
      <protection hidden="1"/>
    </xf>
    <xf numFmtId="0" fontId="47" fillId="0" borderId="46" xfId="0" applyFont="1" applyFill="1" applyBorder="1" applyAlignment="1" applyProtection="1">
      <alignment vertical="center"/>
      <protection hidden="1"/>
    </xf>
    <xf numFmtId="0" fontId="47" fillId="2" borderId="42" xfId="0" applyFont="1" applyFill="1" applyBorder="1" applyAlignment="1" applyProtection="1">
      <alignment horizontal="center" vertical="center" wrapText="1"/>
      <protection hidden="1"/>
    </xf>
    <xf numFmtId="1" fontId="47" fillId="2" borderId="42" xfId="0" applyNumberFormat="1" applyFont="1" applyFill="1" applyBorder="1" applyAlignment="1" applyProtection="1">
      <alignment horizontal="center" vertical="center" wrapText="1"/>
      <protection hidden="1"/>
    </xf>
    <xf numFmtId="0" fontId="47" fillId="2" borderId="43" xfId="0" applyFont="1" applyFill="1" applyBorder="1" applyAlignment="1" applyProtection="1">
      <alignment horizontal="center" vertical="center" wrapText="1"/>
      <protection hidden="1"/>
    </xf>
    <xf numFmtId="14" fontId="47" fillId="2" borderId="9" xfId="0" applyNumberFormat="1" applyFont="1" applyFill="1" applyBorder="1" applyAlignment="1" applyProtection="1">
      <alignment horizontal="center" vertical="center" wrapText="1"/>
      <protection hidden="1"/>
    </xf>
    <xf numFmtId="1" fontId="47" fillId="2" borderId="9" xfId="0" applyNumberFormat="1" applyFont="1" applyFill="1" applyBorder="1" applyAlignment="1" applyProtection="1">
      <alignment horizontal="center" vertical="center" wrapText="1"/>
      <protection hidden="1"/>
    </xf>
    <xf numFmtId="2" fontId="47" fillId="2" borderId="9" xfId="0" applyNumberFormat="1" applyFont="1" applyFill="1" applyBorder="1" applyAlignment="1" applyProtection="1">
      <alignment horizontal="center" vertical="center" wrapText="1"/>
      <protection hidden="1"/>
    </xf>
    <xf numFmtId="0" fontId="81" fillId="2" borderId="9" xfId="0" applyFont="1" applyFill="1" applyBorder="1" applyAlignment="1" applyProtection="1">
      <alignment horizontal="center" vertical="center"/>
      <protection hidden="1"/>
    </xf>
    <xf numFmtId="173" fontId="47" fillId="2" borderId="9" xfId="0" applyNumberFormat="1" applyFont="1" applyFill="1" applyBorder="1" applyAlignment="1" applyProtection="1">
      <alignment horizontal="center" vertical="center" wrapText="1"/>
      <protection hidden="1"/>
    </xf>
    <xf numFmtId="166" fontId="47" fillId="2" borderId="9" xfId="0" applyNumberFormat="1" applyFont="1" applyFill="1" applyBorder="1" applyAlignment="1" applyProtection="1">
      <alignment horizontal="center" vertical="center" wrapText="1"/>
      <protection hidden="1"/>
    </xf>
    <xf numFmtId="170" fontId="47" fillId="0" borderId="0" xfId="0" applyNumberFormat="1" applyFont="1" applyBorder="1" applyAlignment="1" applyProtection="1">
      <alignment horizontal="center"/>
      <protection hidden="1"/>
    </xf>
    <xf numFmtId="0" fontId="47" fillId="0" borderId="42" xfId="0" applyFont="1" applyFill="1" applyBorder="1" applyAlignment="1" applyProtection="1">
      <alignment horizontal="center" vertical="center" wrapText="1"/>
      <protection hidden="1"/>
    </xf>
    <xf numFmtId="0" fontId="47" fillId="0" borderId="43" xfId="0" applyFont="1" applyFill="1" applyBorder="1" applyAlignment="1" applyProtection="1">
      <alignment horizontal="center" vertical="center"/>
      <protection hidden="1"/>
    </xf>
    <xf numFmtId="167" fontId="81" fillId="2" borderId="41" xfId="0" applyNumberFormat="1" applyFont="1" applyFill="1" applyBorder="1" applyAlignment="1" applyProtection="1">
      <alignment horizontal="center" vertical="center"/>
      <protection hidden="1"/>
    </xf>
    <xf numFmtId="0" fontId="81" fillId="2" borderId="42" xfId="0" applyFont="1" applyFill="1" applyBorder="1" applyAlignment="1" applyProtection="1">
      <alignment horizontal="center" vertical="center"/>
      <protection hidden="1"/>
    </xf>
    <xf numFmtId="0" fontId="81" fillId="2" borderId="43" xfId="0" applyFont="1" applyFill="1" applyBorder="1" applyAlignment="1" applyProtection="1">
      <alignment horizontal="center" vertical="center"/>
      <protection hidden="1"/>
    </xf>
    <xf numFmtId="0" fontId="47" fillId="0" borderId="34" xfId="0" applyFont="1" applyFill="1" applyBorder="1" applyProtection="1">
      <protection hidden="1"/>
    </xf>
    <xf numFmtId="0" fontId="47" fillId="0" borderId="9" xfId="0" applyFont="1" applyFill="1" applyBorder="1" applyProtection="1">
      <protection hidden="1"/>
    </xf>
    <xf numFmtId="0" fontId="47" fillId="0" borderId="36" xfId="0" applyFont="1" applyFill="1" applyBorder="1" applyProtection="1">
      <protection hidden="1"/>
    </xf>
    <xf numFmtId="0" fontId="81" fillId="2" borderId="34" xfId="0" applyFont="1" applyFill="1" applyBorder="1" applyAlignment="1" applyProtection="1">
      <alignment horizontal="center" vertical="center"/>
      <protection hidden="1"/>
    </xf>
    <xf numFmtId="0" fontId="81" fillId="2" borderId="36" xfId="0" applyFont="1" applyFill="1" applyBorder="1" applyAlignment="1" applyProtection="1">
      <alignment horizontal="center" vertical="center"/>
      <protection hidden="1"/>
    </xf>
    <xf numFmtId="0" fontId="47" fillId="0" borderId="9" xfId="0" applyFont="1" applyFill="1" applyBorder="1" applyAlignment="1" applyProtection="1">
      <alignment horizontal="center" vertical="center"/>
      <protection hidden="1"/>
    </xf>
    <xf numFmtId="0" fontId="47" fillId="0" borderId="36" xfId="0" applyFont="1" applyFill="1" applyBorder="1" applyAlignment="1" applyProtection="1">
      <alignment horizontal="center" vertical="center"/>
      <protection hidden="1"/>
    </xf>
    <xf numFmtId="0" fontId="81" fillId="2" borderId="45" xfId="0" applyFont="1" applyFill="1" applyBorder="1" applyAlignment="1" applyProtection="1">
      <alignment horizontal="center" vertical="center"/>
      <protection hidden="1"/>
    </xf>
    <xf numFmtId="0" fontId="81" fillId="2" borderId="46" xfId="0" applyFont="1" applyFill="1" applyBorder="1" applyAlignment="1" applyProtection="1">
      <alignment horizontal="center" vertical="center"/>
      <protection hidden="1"/>
    </xf>
    <xf numFmtId="0" fontId="81" fillId="2" borderId="39" xfId="0" applyFont="1" applyFill="1" applyBorder="1" applyAlignment="1" applyProtection="1">
      <alignment horizontal="center" vertical="center"/>
      <protection hidden="1"/>
    </xf>
    <xf numFmtId="0" fontId="81" fillId="0" borderId="2" xfId="0" applyFont="1" applyBorder="1" applyProtection="1">
      <protection hidden="1"/>
    </xf>
    <xf numFmtId="0" fontId="81" fillId="0" borderId="3" xfId="0" applyFont="1" applyBorder="1" applyProtection="1">
      <protection hidden="1"/>
    </xf>
    <xf numFmtId="0" fontId="81" fillId="0" borderId="3" xfId="0" applyFont="1" applyFill="1" applyBorder="1" applyAlignment="1" applyProtection="1">
      <alignment horizontal="center" vertical="center"/>
      <protection hidden="1"/>
    </xf>
    <xf numFmtId="2" fontId="81" fillId="0" borderId="3" xfId="0" applyNumberFormat="1" applyFont="1" applyFill="1" applyBorder="1" applyAlignment="1" applyProtection="1">
      <alignment horizontal="left" vertical="center"/>
      <protection hidden="1"/>
    </xf>
    <xf numFmtId="0" fontId="81" fillId="0" borderId="3" xfId="0" applyFont="1" applyFill="1" applyBorder="1" applyProtection="1">
      <protection hidden="1"/>
    </xf>
    <xf numFmtId="170" fontId="81" fillId="0" borderId="3" xfId="0" applyNumberFormat="1" applyFont="1" applyFill="1" applyBorder="1" applyProtection="1">
      <protection hidden="1"/>
    </xf>
    <xf numFmtId="0" fontId="81" fillId="0" borderId="4" xfId="0" applyFont="1" applyFill="1" applyBorder="1" applyProtection="1">
      <protection hidden="1"/>
    </xf>
    <xf numFmtId="0" fontId="26" fillId="2" borderId="76" xfId="0" applyFont="1" applyFill="1" applyBorder="1" applyAlignment="1" applyProtection="1">
      <alignment horizontal="center" vertical="center"/>
      <protection hidden="1"/>
    </xf>
    <xf numFmtId="0" fontId="26" fillId="2" borderId="3" xfId="0" applyFont="1" applyFill="1" applyBorder="1" applyAlignment="1" applyProtection="1">
      <alignment horizontal="center" vertical="center"/>
      <protection hidden="1"/>
    </xf>
    <xf numFmtId="0" fontId="81" fillId="0" borderId="10" xfId="0" applyFont="1" applyBorder="1" applyProtection="1">
      <protection hidden="1"/>
    </xf>
    <xf numFmtId="0" fontId="81" fillId="0" borderId="51" xfId="0" applyFont="1" applyBorder="1" applyProtection="1">
      <protection hidden="1"/>
    </xf>
    <xf numFmtId="0" fontId="47" fillId="0" borderId="47" xfId="0" applyFont="1" applyFill="1" applyBorder="1" applyAlignment="1" applyProtection="1">
      <alignment horizontal="center" vertical="center"/>
      <protection hidden="1"/>
    </xf>
    <xf numFmtId="0" fontId="47" fillId="0" borderId="55" xfId="0" applyFont="1" applyFill="1" applyBorder="1" applyAlignment="1" applyProtection="1">
      <alignment horizontal="center" vertical="center"/>
      <protection hidden="1"/>
    </xf>
    <xf numFmtId="0" fontId="47" fillId="0" borderId="39" xfId="0" applyFont="1" applyFill="1" applyBorder="1" applyAlignment="1" applyProtection="1">
      <alignment horizontal="center" vertical="center"/>
      <protection hidden="1"/>
    </xf>
    <xf numFmtId="0" fontId="47" fillId="2" borderId="41" xfId="0" applyFont="1" applyFill="1" applyBorder="1" applyAlignment="1" applyProtection="1">
      <alignment horizontal="center" vertical="center"/>
      <protection hidden="1"/>
    </xf>
    <xf numFmtId="0" fontId="47" fillId="2" borderId="42" xfId="0" applyFont="1" applyFill="1" applyBorder="1" applyAlignment="1" applyProtection="1">
      <protection hidden="1"/>
    </xf>
    <xf numFmtId="0" fontId="47" fillId="2" borderId="43" xfId="0" applyFont="1" applyFill="1" applyBorder="1" applyAlignment="1" applyProtection="1">
      <alignment vertical="center"/>
      <protection hidden="1"/>
    </xf>
    <xf numFmtId="170" fontId="81" fillId="0" borderId="0" xfId="0" applyNumberFormat="1" applyFont="1" applyBorder="1" applyProtection="1">
      <protection hidden="1"/>
    </xf>
    <xf numFmtId="167" fontId="47" fillId="2" borderId="9" xfId="0" applyNumberFormat="1" applyFont="1" applyFill="1" applyBorder="1" applyAlignment="1" applyProtection="1">
      <alignment horizontal="center" vertical="center"/>
      <protection hidden="1"/>
    </xf>
    <xf numFmtId="0" fontId="26" fillId="19" borderId="19" xfId="0" applyFont="1" applyFill="1" applyBorder="1" applyAlignment="1" applyProtection="1">
      <alignment horizontal="center" vertical="center" wrapText="1"/>
      <protection hidden="1"/>
    </xf>
    <xf numFmtId="0" fontId="26" fillId="19" borderId="22" xfId="0" applyFont="1" applyFill="1" applyBorder="1" applyAlignment="1" applyProtection="1">
      <alignment horizontal="center" vertical="center" wrapText="1"/>
      <protection hidden="1"/>
    </xf>
    <xf numFmtId="170" fontId="26" fillId="19" borderId="22" xfId="0" applyNumberFormat="1" applyFont="1" applyFill="1" applyBorder="1" applyAlignment="1" applyProtection="1">
      <alignment horizontal="center" vertical="center" wrapText="1"/>
      <protection hidden="1"/>
    </xf>
    <xf numFmtId="0" fontId="26" fillId="19" borderId="20" xfId="0" applyFont="1" applyFill="1" applyBorder="1" applyAlignment="1" applyProtection="1">
      <alignment horizontal="center" vertical="center" wrapText="1"/>
      <protection hidden="1"/>
    </xf>
    <xf numFmtId="0" fontId="47" fillId="2" borderId="45" xfId="0" applyFont="1" applyFill="1" applyBorder="1" applyAlignment="1" applyProtection="1">
      <alignment horizontal="center" vertical="center"/>
      <protection hidden="1"/>
    </xf>
    <xf numFmtId="2" fontId="47" fillId="2" borderId="46" xfId="0" applyNumberFormat="1" applyFont="1" applyFill="1" applyBorder="1" applyAlignment="1" applyProtection="1">
      <alignment vertical="center"/>
      <protection hidden="1"/>
    </xf>
    <xf numFmtId="0" fontId="47" fillId="2" borderId="46" xfId="0" applyFont="1" applyFill="1" applyBorder="1" applyAlignment="1" applyProtection="1">
      <alignment vertical="center"/>
      <protection hidden="1"/>
    </xf>
    <xf numFmtId="0" fontId="47" fillId="2" borderId="39" xfId="0" applyFont="1" applyFill="1" applyBorder="1" applyAlignment="1" applyProtection="1">
      <alignment vertical="center"/>
      <protection hidden="1"/>
    </xf>
    <xf numFmtId="0" fontId="47" fillId="0" borderId="31" xfId="0" applyFont="1" applyBorder="1" applyProtection="1">
      <protection hidden="1"/>
    </xf>
    <xf numFmtId="0" fontId="47" fillId="0" borderId="30" xfId="0" applyFont="1" applyBorder="1" applyProtection="1">
      <protection hidden="1"/>
    </xf>
    <xf numFmtId="0" fontId="47" fillId="0" borderId="3" xfId="0" applyFont="1" applyBorder="1" applyProtection="1">
      <protection hidden="1"/>
    </xf>
    <xf numFmtId="170" fontId="47" fillId="0" borderId="3" xfId="0" applyNumberFormat="1" applyFont="1" applyBorder="1" applyProtection="1">
      <protection hidden="1"/>
    </xf>
    <xf numFmtId="0" fontId="47" fillId="0" borderId="4" xfId="0" applyFont="1" applyBorder="1" applyProtection="1">
      <protection hidden="1"/>
    </xf>
    <xf numFmtId="0" fontId="81" fillId="0" borderId="51" xfId="0" applyFont="1" applyFill="1" applyBorder="1" applyProtection="1">
      <protection hidden="1"/>
    </xf>
    <xf numFmtId="0" fontId="47" fillId="0" borderId="72" xfId="0" applyFont="1" applyFill="1" applyBorder="1" applyAlignment="1" applyProtection="1">
      <alignment horizontal="center" vertical="center" wrapText="1"/>
      <protection hidden="1"/>
    </xf>
    <xf numFmtId="0" fontId="47" fillId="0" borderId="78" xfId="0" applyFont="1" applyFill="1" applyBorder="1" applyAlignment="1" applyProtection="1">
      <alignment horizontal="center" vertical="center" wrapText="1"/>
      <protection hidden="1"/>
    </xf>
    <xf numFmtId="0" fontId="26" fillId="0" borderId="41" xfId="0" applyFont="1" applyFill="1" applyBorder="1" applyAlignment="1" applyProtection="1">
      <alignment horizontal="center" vertical="center" wrapText="1"/>
      <protection hidden="1"/>
    </xf>
    <xf numFmtId="2" fontId="47" fillId="0" borderId="42" xfId="0" applyNumberFormat="1" applyFont="1" applyFill="1" applyBorder="1" applyAlignment="1" applyProtection="1">
      <alignment horizontal="center" vertical="center" wrapText="1"/>
      <protection hidden="1"/>
    </xf>
    <xf numFmtId="0" fontId="47" fillId="0" borderId="42" xfId="0" applyFont="1" applyFill="1" applyBorder="1" applyAlignment="1" applyProtection="1">
      <alignment horizontal="center" vertical="center"/>
      <protection hidden="1"/>
    </xf>
    <xf numFmtId="170" fontId="47" fillId="0" borderId="42" xfId="0" applyNumberFormat="1" applyFont="1" applyFill="1" applyBorder="1" applyAlignment="1" applyProtection="1">
      <alignment horizontal="center" vertical="center" wrapText="1"/>
      <protection hidden="1"/>
    </xf>
    <xf numFmtId="165" fontId="47" fillId="0" borderId="42" xfId="0" applyNumberFormat="1" applyFont="1" applyFill="1" applyBorder="1" applyAlignment="1" applyProtection="1">
      <alignment horizontal="center" vertical="center" wrapText="1"/>
      <protection hidden="1"/>
    </xf>
    <xf numFmtId="0" fontId="47" fillId="0" borderId="43" xfId="0" applyFont="1" applyFill="1" applyBorder="1" applyAlignment="1" applyProtection="1">
      <alignment horizontal="center" vertical="center" wrapText="1"/>
      <protection hidden="1"/>
    </xf>
    <xf numFmtId="0" fontId="26" fillId="0" borderId="45" xfId="0" applyFont="1" applyFill="1" applyBorder="1" applyAlignment="1" applyProtection="1">
      <alignment horizontal="center" vertical="center" wrapText="1"/>
      <protection hidden="1"/>
    </xf>
    <xf numFmtId="0" fontId="47" fillId="0" borderId="46" xfId="0" applyFont="1" applyFill="1" applyBorder="1" applyAlignment="1" applyProtection="1">
      <alignment horizontal="center" vertical="center" wrapText="1"/>
      <protection hidden="1"/>
    </xf>
    <xf numFmtId="14" fontId="47" fillId="0" borderId="46" xfId="0" applyNumberFormat="1" applyFont="1" applyFill="1" applyBorder="1" applyAlignment="1" applyProtection="1">
      <alignment horizontal="center" vertical="center" wrapText="1"/>
      <protection hidden="1"/>
    </xf>
    <xf numFmtId="167" fontId="47" fillId="0" borderId="46" xfId="0" applyNumberFormat="1" applyFont="1" applyFill="1" applyBorder="1" applyAlignment="1" applyProtection="1">
      <alignment horizontal="center" vertical="center" wrapText="1"/>
      <protection hidden="1"/>
    </xf>
    <xf numFmtId="0" fontId="47" fillId="0" borderId="46" xfId="0" applyFont="1" applyFill="1" applyBorder="1" applyAlignment="1" applyProtection="1">
      <alignment horizontal="center" vertical="center"/>
      <protection hidden="1"/>
    </xf>
    <xf numFmtId="170" fontId="47" fillId="0" borderId="46" xfId="0" applyNumberFormat="1" applyFont="1" applyFill="1" applyBorder="1" applyAlignment="1" applyProtection="1">
      <alignment horizontal="center" vertical="center" wrapText="1"/>
      <protection hidden="1"/>
    </xf>
    <xf numFmtId="165" fontId="47" fillId="0" borderId="46" xfId="0" applyNumberFormat="1" applyFont="1" applyFill="1" applyBorder="1" applyAlignment="1" applyProtection="1">
      <alignment horizontal="center" vertical="center" wrapText="1"/>
      <protection hidden="1"/>
    </xf>
    <xf numFmtId="0" fontId="47" fillId="0" borderId="39" xfId="0" applyFont="1" applyFill="1" applyBorder="1" applyAlignment="1" applyProtection="1">
      <alignment vertical="center" wrapText="1"/>
      <protection hidden="1"/>
    </xf>
    <xf numFmtId="0" fontId="47" fillId="0" borderId="36" xfId="0" applyFont="1" applyBorder="1" applyAlignment="1" applyProtection="1">
      <alignment horizontal="center" vertical="center"/>
      <protection hidden="1"/>
    </xf>
    <xf numFmtId="0" fontId="47" fillId="0" borderId="0" xfId="0" applyFont="1" applyFill="1" applyBorder="1" applyProtection="1">
      <protection hidden="1"/>
    </xf>
    <xf numFmtId="170" fontId="47" fillId="0" borderId="0" xfId="0" applyNumberFormat="1" applyFont="1" applyFill="1" applyBorder="1" applyProtection="1">
      <protection hidden="1"/>
    </xf>
    <xf numFmtId="0" fontId="47" fillId="0" borderId="76" xfId="0" applyFont="1" applyBorder="1" applyAlignment="1" applyProtection="1">
      <alignment horizontal="center" vertical="center"/>
      <protection hidden="1"/>
    </xf>
    <xf numFmtId="0" fontId="26" fillId="5" borderId="47" xfId="0" applyFont="1" applyFill="1" applyBorder="1" applyAlignment="1" applyProtection="1">
      <alignment horizontal="center" vertical="center" wrapText="1"/>
      <protection hidden="1"/>
    </xf>
    <xf numFmtId="0" fontId="26" fillId="5" borderId="55" xfId="0" applyFont="1" applyFill="1" applyBorder="1" applyAlignment="1" applyProtection="1">
      <alignment horizontal="center" vertical="center" wrapText="1"/>
      <protection hidden="1"/>
    </xf>
    <xf numFmtId="170" fontId="26" fillId="5" borderId="48" xfId="0" applyNumberFormat="1" applyFont="1" applyFill="1" applyBorder="1" applyAlignment="1" applyProtection="1">
      <alignment horizontal="center" vertical="center" wrapText="1"/>
      <protection hidden="1"/>
    </xf>
    <xf numFmtId="0" fontId="26" fillId="5" borderId="83" xfId="0" applyFont="1" applyFill="1" applyBorder="1" applyAlignment="1" applyProtection="1">
      <alignment horizontal="center" vertical="center" wrapText="1"/>
      <protection hidden="1"/>
    </xf>
    <xf numFmtId="0" fontId="47" fillId="0" borderId="9" xfId="0" applyFont="1" applyBorder="1" applyAlignment="1" applyProtection="1">
      <alignment horizontal="center" vertical="center"/>
      <protection hidden="1"/>
    </xf>
    <xf numFmtId="0" fontId="47" fillId="0" borderId="17" xfId="0" applyFont="1" applyFill="1" applyBorder="1" applyProtection="1">
      <protection hidden="1"/>
    </xf>
    <xf numFmtId="0" fontId="81" fillId="0" borderId="33" xfId="0" applyFont="1" applyBorder="1" applyProtection="1">
      <protection hidden="1"/>
    </xf>
    <xf numFmtId="0" fontId="47" fillId="0" borderId="61" xfId="0" applyFont="1" applyBorder="1" applyAlignment="1" applyProtection="1">
      <alignment horizontal="center" vertical="center"/>
      <protection hidden="1"/>
    </xf>
    <xf numFmtId="170" fontId="47" fillId="0" borderId="61" xfId="0" applyNumberFormat="1" applyFont="1" applyBorder="1" applyProtection="1">
      <protection hidden="1"/>
    </xf>
    <xf numFmtId="0" fontId="47" fillId="0" borderId="56" xfId="0" applyFont="1" applyBorder="1" applyProtection="1">
      <protection hidden="1"/>
    </xf>
    <xf numFmtId="0" fontId="47" fillId="0" borderId="14" xfId="0" applyFont="1" applyBorder="1" applyAlignment="1" applyProtection="1">
      <alignment horizontal="center" vertical="center"/>
      <protection hidden="1"/>
    </xf>
    <xf numFmtId="0" fontId="47" fillId="0" borderId="9" xfId="0" applyFont="1" applyFill="1" applyBorder="1" applyAlignment="1" applyProtection="1">
      <alignment horizontal="center" vertical="center" wrapText="1"/>
      <protection hidden="1"/>
    </xf>
    <xf numFmtId="170" fontId="47" fillId="0" borderId="9" xfId="0" applyNumberFormat="1" applyFont="1" applyBorder="1" applyAlignment="1" applyProtection="1">
      <alignment horizontal="center" vertical="center"/>
      <protection hidden="1"/>
    </xf>
    <xf numFmtId="14" fontId="47" fillId="0" borderId="36" xfId="0" applyNumberFormat="1" applyFont="1" applyBorder="1" applyAlignment="1" applyProtection="1">
      <alignment horizontal="center" vertical="center"/>
      <protection hidden="1"/>
    </xf>
    <xf numFmtId="0" fontId="47" fillId="0" borderId="46" xfId="0" applyFont="1" applyBorder="1" applyAlignment="1" applyProtection="1">
      <alignment horizontal="center" vertical="center"/>
      <protection hidden="1"/>
    </xf>
    <xf numFmtId="0" fontId="47" fillId="0" borderId="39" xfId="0" applyFont="1" applyBorder="1" applyAlignment="1" applyProtection="1">
      <alignment horizontal="center" vertical="center"/>
      <protection hidden="1"/>
    </xf>
    <xf numFmtId="0" fontId="71" fillId="0" borderId="0" xfId="0" applyFont="1" applyAlignment="1" applyProtection="1">
      <alignment horizontal="center" vertical="center" wrapText="1"/>
      <protection hidden="1"/>
    </xf>
    <xf numFmtId="0" fontId="47" fillId="0" borderId="27" xfId="0" applyFont="1" applyBorder="1" applyAlignment="1" applyProtection="1">
      <alignment horizontal="center" vertical="center"/>
      <protection hidden="1"/>
    </xf>
    <xf numFmtId="0" fontId="47" fillId="0" borderId="12" xfId="0" applyFont="1" applyFill="1" applyBorder="1" applyAlignment="1" applyProtection="1">
      <alignment horizontal="center" vertical="center" wrapText="1"/>
      <protection hidden="1"/>
    </xf>
    <xf numFmtId="0" fontId="47" fillId="0" borderId="12" xfId="0" applyFont="1" applyBorder="1" applyAlignment="1" applyProtection="1">
      <alignment horizontal="center" vertical="center" wrapText="1"/>
      <protection hidden="1"/>
    </xf>
    <xf numFmtId="0" fontId="47" fillId="0" borderId="12" xfId="0" applyFont="1" applyBorder="1" applyAlignment="1" applyProtection="1">
      <alignment horizontal="center" vertical="center"/>
      <protection hidden="1"/>
    </xf>
    <xf numFmtId="170" fontId="47" fillId="0" borderId="12" xfId="0" applyNumberFormat="1" applyFont="1" applyBorder="1" applyAlignment="1" applyProtection="1">
      <alignment horizontal="center" vertical="center"/>
      <protection hidden="1"/>
    </xf>
    <xf numFmtId="14" fontId="47" fillId="0" borderId="62" xfId="0" applyNumberFormat="1" applyFont="1" applyBorder="1" applyAlignment="1" applyProtection="1">
      <alignment horizontal="center" vertical="center"/>
      <protection hidden="1"/>
    </xf>
    <xf numFmtId="0" fontId="81" fillId="0" borderId="3" xfId="0" applyFont="1" applyBorder="1" applyAlignment="1" applyProtection="1">
      <alignment vertical="center" textRotation="90" wrapText="1"/>
      <protection hidden="1"/>
    </xf>
    <xf numFmtId="0" fontId="47" fillId="0" borderId="3" xfId="0" applyFont="1" applyBorder="1" applyAlignment="1" applyProtection="1">
      <alignment horizontal="center" vertical="center"/>
      <protection hidden="1"/>
    </xf>
    <xf numFmtId="170" fontId="47" fillId="0" borderId="0" xfId="0" applyNumberFormat="1" applyFont="1" applyBorder="1" applyProtection="1">
      <protection hidden="1"/>
    </xf>
    <xf numFmtId="0" fontId="47" fillId="0" borderId="0" xfId="0" applyFont="1" applyBorder="1" applyAlignment="1" applyProtection="1">
      <alignment horizontal="center" vertical="center"/>
      <protection hidden="1"/>
    </xf>
    <xf numFmtId="170" fontId="26" fillId="5" borderId="83" xfId="0" applyNumberFormat="1" applyFont="1" applyFill="1" applyBorder="1" applyAlignment="1" applyProtection="1">
      <alignment horizontal="center" vertical="center" wrapText="1"/>
      <protection hidden="1"/>
    </xf>
    <xf numFmtId="0" fontId="81" fillId="0" borderId="47" xfId="0" applyFont="1" applyBorder="1" applyProtection="1">
      <protection hidden="1"/>
    </xf>
    <xf numFmtId="0" fontId="47" fillId="0" borderId="29" xfId="0" applyFont="1" applyBorder="1" applyAlignment="1" applyProtection="1">
      <alignment horizontal="center" vertical="center"/>
      <protection hidden="1"/>
    </xf>
    <xf numFmtId="0" fontId="47" fillId="0" borderId="7" xfId="0" applyFont="1" applyBorder="1" applyAlignment="1" applyProtection="1">
      <alignment horizontal="center" vertical="center"/>
      <protection hidden="1"/>
    </xf>
    <xf numFmtId="170" fontId="47" fillId="0" borderId="7" xfId="0" applyNumberFormat="1" applyFont="1" applyBorder="1" applyAlignment="1" applyProtection="1">
      <alignment horizontal="center" vertical="center"/>
      <protection hidden="1"/>
    </xf>
    <xf numFmtId="0" fontId="47" fillId="0" borderId="21" xfId="0" applyFont="1" applyBorder="1" applyProtection="1">
      <protection hidden="1"/>
    </xf>
    <xf numFmtId="0" fontId="47" fillId="0" borderId="41" xfId="0" applyFont="1" applyBorder="1" applyAlignment="1" applyProtection="1">
      <alignment horizontal="center" vertical="center"/>
      <protection hidden="1"/>
    </xf>
    <xf numFmtId="1" fontId="47" fillId="0" borderId="50" xfId="0" applyNumberFormat="1" applyFont="1" applyFill="1" applyBorder="1" applyAlignment="1" applyProtection="1">
      <alignment vertical="center" wrapText="1"/>
      <protection hidden="1"/>
    </xf>
    <xf numFmtId="166" fontId="47" fillId="0" borderId="42" xfId="0" applyNumberFormat="1" applyFont="1" applyBorder="1" applyAlignment="1" applyProtection="1">
      <alignment horizontal="center" vertical="center"/>
      <protection hidden="1"/>
    </xf>
    <xf numFmtId="0" fontId="47" fillId="0" borderId="42" xfId="0" applyFont="1" applyBorder="1" applyAlignment="1" applyProtection="1">
      <alignment horizontal="center" vertical="center"/>
      <protection hidden="1"/>
    </xf>
    <xf numFmtId="167" fontId="47" fillId="0" borderId="42" xfId="0" applyNumberFormat="1" applyFont="1" applyBorder="1" applyAlignment="1" applyProtection="1">
      <alignment horizontal="center" vertical="center"/>
      <protection hidden="1"/>
    </xf>
    <xf numFmtId="170" fontId="47" fillId="0" borderId="42" xfId="0" applyNumberFormat="1" applyFont="1" applyBorder="1" applyAlignment="1" applyProtection="1">
      <alignment horizontal="center" vertical="center"/>
      <protection hidden="1"/>
    </xf>
    <xf numFmtId="166" fontId="47" fillId="0" borderId="9" xfId="0" applyNumberFormat="1" applyFont="1" applyBorder="1" applyAlignment="1" applyProtection="1">
      <alignment horizontal="center" vertical="center"/>
      <protection hidden="1"/>
    </xf>
    <xf numFmtId="167" fontId="47" fillId="0" borderId="9" xfId="0" applyNumberFormat="1" applyFont="1" applyBorder="1" applyAlignment="1" applyProtection="1">
      <alignment horizontal="center" vertical="center"/>
      <protection hidden="1"/>
    </xf>
    <xf numFmtId="0" fontId="47" fillId="0" borderId="19" xfId="0" applyFont="1" applyBorder="1" applyAlignment="1" applyProtection="1">
      <alignment horizontal="center" vertical="center"/>
      <protection hidden="1"/>
    </xf>
    <xf numFmtId="1" fontId="47" fillId="0" borderId="21" xfId="0" applyNumberFormat="1" applyFont="1" applyFill="1" applyBorder="1" applyAlignment="1" applyProtection="1">
      <alignment vertical="center" wrapText="1"/>
      <protection hidden="1"/>
    </xf>
    <xf numFmtId="166" fontId="47" fillId="0" borderId="46" xfId="0" applyNumberFormat="1" applyFont="1" applyBorder="1" applyAlignment="1" applyProtection="1">
      <alignment horizontal="center" vertical="center"/>
      <protection hidden="1"/>
    </xf>
    <xf numFmtId="167" fontId="47" fillId="0" borderId="46" xfId="0" applyNumberFormat="1" applyFont="1" applyBorder="1" applyAlignment="1" applyProtection="1">
      <alignment horizontal="center" vertical="center"/>
      <protection hidden="1"/>
    </xf>
    <xf numFmtId="170" fontId="47" fillId="0" borderId="46" xfId="0" applyNumberFormat="1" applyFont="1" applyBorder="1" applyAlignment="1" applyProtection="1">
      <alignment horizontal="center" vertical="center"/>
      <protection hidden="1"/>
    </xf>
    <xf numFmtId="0" fontId="47" fillId="0" borderId="6" xfId="0" applyFont="1" applyBorder="1" applyAlignment="1" applyProtection="1">
      <alignment horizontal="center" vertical="center"/>
      <protection hidden="1"/>
    </xf>
    <xf numFmtId="0" fontId="81" fillId="0" borderId="7" xfId="0" applyFont="1" applyBorder="1" applyProtection="1">
      <protection hidden="1"/>
    </xf>
    <xf numFmtId="1" fontId="47" fillId="0" borderId="7" xfId="0" applyNumberFormat="1" applyFont="1" applyFill="1" applyBorder="1" applyAlignment="1" applyProtection="1">
      <alignment vertical="center" wrapText="1"/>
      <protection hidden="1"/>
    </xf>
    <xf numFmtId="166" fontId="47" fillId="0" borderId="7" xfId="0" applyNumberFormat="1" applyFont="1" applyBorder="1" applyAlignment="1" applyProtection="1">
      <alignment horizontal="center" vertical="center"/>
      <protection hidden="1"/>
    </xf>
    <xf numFmtId="0" fontId="47" fillId="0" borderId="8" xfId="0" applyFont="1" applyBorder="1" applyProtection="1">
      <protection hidden="1"/>
    </xf>
    <xf numFmtId="1" fontId="47" fillId="0" borderId="42" xfId="0" applyNumberFormat="1" applyFont="1" applyFill="1" applyBorder="1" applyAlignment="1" applyProtection="1">
      <alignment vertical="center" wrapText="1"/>
      <protection hidden="1"/>
    </xf>
    <xf numFmtId="170" fontId="47" fillId="0" borderId="43" xfId="0" applyNumberFormat="1" applyFont="1" applyBorder="1" applyAlignment="1" applyProtection="1">
      <alignment horizontal="center" vertical="center"/>
      <protection hidden="1"/>
    </xf>
    <xf numFmtId="1" fontId="47" fillId="0" borderId="9" xfId="0" applyNumberFormat="1" applyFont="1" applyFill="1" applyBorder="1" applyAlignment="1" applyProtection="1">
      <alignment vertical="center" wrapText="1"/>
      <protection hidden="1"/>
    </xf>
    <xf numFmtId="170" fontId="47" fillId="0" borderId="36" xfId="0" applyNumberFormat="1" applyFont="1" applyBorder="1" applyAlignment="1" applyProtection="1">
      <alignment horizontal="center" vertical="center"/>
      <protection hidden="1"/>
    </xf>
    <xf numFmtId="1" fontId="47" fillId="0" borderId="46" xfId="0" applyNumberFormat="1" applyFont="1" applyFill="1" applyBorder="1" applyAlignment="1" applyProtection="1">
      <alignment vertical="center" wrapText="1"/>
      <protection hidden="1"/>
    </xf>
    <xf numFmtId="170" fontId="47" fillId="0" borderId="39" xfId="0" applyNumberFormat="1" applyFont="1" applyBorder="1" applyAlignment="1" applyProtection="1">
      <alignment horizontal="center" vertical="center"/>
      <protection hidden="1"/>
    </xf>
    <xf numFmtId="0" fontId="26" fillId="5" borderId="15" xfId="0" applyFont="1" applyFill="1" applyBorder="1" applyAlignment="1" applyProtection="1">
      <alignment horizontal="center" vertical="center" wrapText="1"/>
      <protection hidden="1"/>
    </xf>
    <xf numFmtId="0" fontId="26" fillId="5" borderId="53" xfId="0" applyFont="1" applyFill="1" applyBorder="1" applyAlignment="1" applyProtection="1">
      <alignment horizontal="center" vertical="center" wrapText="1"/>
      <protection hidden="1"/>
    </xf>
    <xf numFmtId="170" fontId="26" fillId="5" borderId="68" xfId="0" applyNumberFormat="1" applyFont="1" applyFill="1" applyBorder="1" applyAlignment="1" applyProtection="1">
      <alignment horizontal="center" vertical="center" wrapText="1"/>
      <protection hidden="1"/>
    </xf>
    <xf numFmtId="0" fontId="47" fillId="2" borderId="53" xfId="0" applyFont="1" applyFill="1" applyBorder="1" applyAlignment="1" applyProtection="1">
      <alignment horizontal="center" vertical="center"/>
      <protection hidden="1"/>
    </xf>
    <xf numFmtId="0" fontId="81" fillId="2" borderId="30" xfId="0" applyFont="1" applyFill="1" applyBorder="1" applyProtection="1">
      <protection hidden="1"/>
    </xf>
    <xf numFmtId="0" fontId="47" fillId="2" borderId="3" xfId="0" applyFont="1" applyFill="1" applyBorder="1" applyAlignment="1" applyProtection="1">
      <alignment horizontal="center" vertical="center"/>
      <protection hidden="1"/>
    </xf>
    <xf numFmtId="170" fontId="47" fillId="2" borderId="3" xfId="0" applyNumberFormat="1" applyFont="1" applyFill="1" applyBorder="1" applyAlignment="1" applyProtection="1">
      <alignment horizontal="center" vertical="center"/>
      <protection hidden="1"/>
    </xf>
    <xf numFmtId="3" fontId="47" fillId="2" borderId="42" xfId="0" applyNumberFormat="1" applyFont="1" applyFill="1" applyBorder="1" applyAlignment="1" applyProtection="1">
      <alignment horizontal="center" vertical="center" wrapText="1"/>
      <protection hidden="1"/>
    </xf>
    <xf numFmtId="0" fontId="47" fillId="2" borderId="42" xfId="0" applyFont="1" applyFill="1" applyBorder="1" applyAlignment="1" applyProtection="1">
      <alignment horizontal="center" vertical="center"/>
      <protection hidden="1"/>
    </xf>
    <xf numFmtId="167" fontId="47" fillId="2" borderId="42" xfId="0" applyNumberFormat="1" applyFont="1" applyFill="1" applyBorder="1" applyAlignment="1" applyProtection="1">
      <alignment horizontal="center" vertical="center"/>
      <protection hidden="1"/>
    </xf>
    <xf numFmtId="170" fontId="47" fillId="2" borderId="42" xfId="0" applyNumberFormat="1" applyFont="1" applyFill="1" applyBorder="1" applyAlignment="1" applyProtection="1">
      <alignment horizontal="center" vertical="center"/>
      <protection hidden="1"/>
    </xf>
    <xf numFmtId="14" fontId="47" fillId="2" borderId="43" xfId="0" applyNumberFormat="1" applyFont="1" applyFill="1" applyBorder="1" applyAlignment="1" applyProtection="1">
      <alignment horizontal="center" vertical="center" wrapText="1"/>
      <protection hidden="1"/>
    </xf>
    <xf numFmtId="3" fontId="47" fillId="2" borderId="9" xfId="0" applyNumberFormat="1" applyFont="1" applyFill="1" applyBorder="1" applyAlignment="1" applyProtection="1">
      <alignment horizontal="center" vertical="center" wrapText="1"/>
      <protection hidden="1"/>
    </xf>
    <xf numFmtId="14" fontId="47" fillId="2" borderId="36" xfId="0" applyNumberFormat="1" applyFont="1" applyFill="1" applyBorder="1" applyAlignment="1" applyProtection="1">
      <alignment horizontal="center" vertical="center" wrapText="1"/>
      <protection hidden="1"/>
    </xf>
    <xf numFmtId="3" fontId="47" fillId="2" borderId="46" xfId="0" applyNumberFormat="1" applyFont="1" applyFill="1" applyBorder="1" applyAlignment="1" applyProtection="1">
      <alignment horizontal="center" vertical="center" wrapText="1"/>
      <protection hidden="1"/>
    </xf>
    <xf numFmtId="0" fontId="47" fillId="2" borderId="46" xfId="0" applyFont="1" applyFill="1" applyBorder="1" applyAlignment="1" applyProtection="1">
      <alignment horizontal="center" vertical="center"/>
      <protection hidden="1"/>
    </xf>
    <xf numFmtId="170" fontId="47" fillId="2" borderId="46" xfId="0" applyNumberFormat="1" applyFont="1" applyFill="1" applyBorder="1" applyAlignment="1" applyProtection="1">
      <alignment horizontal="center" vertical="center"/>
      <protection hidden="1"/>
    </xf>
    <xf numFmtId="0" fontId="47" fillId="2" borderId="39" xfId="0" applyFont="1" applyFill="1" applyBorder="1" applyAlignment="1" applyProtection="1">
      <alignment horizontal="center" vertical="center" wrapText="1"/>
      <protection hidden="1"/>
    </xf>
    <xf numFmtId="0" fontId="81" fillId="0" borderId="0" xfId="0" applyFont="1" applyBorder="1" applyAlignment="1" applyProtection="1">
      <alignment horizontal="center"/>
      <protection hidden="1"/>
    </xf>
    <xf numFmtId="0" fontId="47" fillId="2" borderId="10" xfId="0" applyFont="1" applyFill="1" applyBorder="1" applyAlignment="1" applyProtection="1">
      <alignment horizontal="center" vertical="center"/>
      <protection hidden="1"/>
    </xf>
    <xf numFmtId="0" fontId="81" fillId="2" borderId="0" xfId="0" applyFont="1" applyFill="1" applyBorder="1" applyProtection="1">
      <protection hidden="1"/>
    </xf>
    <xf numFmtId="0" fontId="47" fillId="2" borderId="0" xfId="0" applyFont="1" applyFill="1" applyBorder="1" applyAlignment="1" applyProtection="1">
      <alignment horizontal="center" vertical="center"/>
      <protection hidden="1"/>
    </xf>
    <xf numFmtId="170" fontId="47" fillId="2" borderId="0" xfId="0" applyNumberFormat="1" applyFont="1" applyFill="1" applyBorder="1" applyAlignment="1" applyProtection="1">
      <alignment horizontal="center" vertical="center"/>
      <protection hidden="1"/>
    </xf>
    <xf numFmtId="0" fontId="47" fillId="2" borderId="51" xfId="0" applyFont="1" applyFill="1" applyBorder="1" applyProtection="1">
      <protection hidden="1"/>
    </xf>
    <xf numFmtId="0" fontId="87" fillId="2" borderId="39" xfId="0" applyFont="1" applyFill="1" applyBorder="1" applyAlignment="1" applyProtection="1">
      <alignment horizontal="center" vertical="center" wrapText="1"/>
      <protection hidden="1"/>
    </xf>
    <xf numFmtId="0" fontId="81" fillId="2" borderId="10" xfId="0" applyFont="1" applyFill="1" applyBorder="1" applyProtection="1">
      <protection hidden="1"/>
    </xf>
    <xf numFmtId="0" fontId="47" fillId="2" borderId="49" xfId="0" applyFont="1" applyFill="1" applyBorder="1" applyAlignment="1" applyProtection="1">
      <alignment horizontal="center" vertical="center"/>
      <protection hidden="1"/>
    </xf>
    <xf numFmtId="0" fontId="81" fillId="2" borderId="5" xfId="0" applyFont="1" applyFill="1" applyBorder="1" applyProtection="1">
      <protection hidden="1"/>
    </xf>
    <xf numFmtId="3" fontId="47" fillId="2" borderId="41" xfId="0" applyNumberFormat="1" applyFont="1" applyFill="1" applyBorder="1" applyAlignment="1" applyProtection="1">
      <alignment horizontal="center" vertical="center" wrapText="1"/>
      <protection hidden="1"/>
    </xf>
    <xf numFmtId="3" fontId="47" fillId="2" borderId="34" xfId="0" applyNumberFormat="1" applyFont="1" applyFill="1" applyBorder="1" applyAlignment="1" applyProtection="1">
      <alignment horizontal="center" vertical="center" wrapText="1"/>
      <protection hidden="1"/>
    </xf>
    <xf numFmtId="3" fontId="47" fillId="2" borderId="45" xfId="0" applyNumberFormat="1" applyFont="1" applyFill="1" applyBorder="1" applyAlignment="1" applyProtection="1">
      <alignment horizontal="center" vertical="center" wrapText="1"/>
      <protection hidden="1"/>
    </xf>
    <xf numFmtId="14" fontId="47" fillId="2" borderId="39" xfId="0" applyNumberFormat="1" applyFont="1" applyFill="1" applyBorder="1" applyAlignment="1" applyProtection="1">
      <alignment horizontal="center" vertical="center" wrapText="1"/>
      <protection hidden="1"/>
    </xf>
    <xf numFmtId="0" fontId="47" fillId="0" borderId="53" xfId="0" applyFont="1" applyBorder="1" applyAlignment="1" applyProtection="1">
      <alignment horizontal="center" vertical="center"/>
      <protection hidden="1"/>
    </xf>
    <xf numFmtId="0" fontId="81" fillId="0" borderId="25" xfId="0" applyFont="1" applyBorder="1" applyProtection="1">
      <protection hidden="1"/>
    </xf>
    <xf numFmtId="0" fontId="47" fillId="0" borderId="26" xfId="0" applyFont="1" applyBorder="1" applyAlignment="1" applyProtection="1">
      <alignment horizontal="center" vertical="center"/>
      <protection hidden="1"/>
    </xf>
    <xf numFmtId="170" fontId="47" fillId="0" borderId="26" xfId="0" applyNumberFormat="1" applyFont="1" applyBorder="1" applyAlignment="1" applyProtection="1">
      <alignment horizontal="center" vertical="center"/>
      <protection hidden="1"/>
    </xf>
    <xf numFmtId="0" fontId="81" fillId="2" borderId="42" xfId="0" applyFont="1" applyFill="1" applyBorder="1" applyAlignment="1" applyProtection="1">
      <alignment horizontal="center"/>
      <protection hidden="1"/>
    </xf>
    <xf numFmtId="166" fontId="47" fillId="2" borderId="42" xfId="0" applyNumberFormat="1" applyFont="1" applyFill="1" applyBorder="1" applyAlignment="1" applyProtection="1">
      <alignment horizontal="center" vertical="center"/>
      <protection hidden="1"/>
    </xf>
    <xf numFmtId="14" fontId="47" fillId="2" borderId="43" xfId="0" applyNumberFormat="1" applyFont="1" applyFill="1" applyBorder="1" applyAlignment="1">
      <alignment horizontal="center" vertical="center" wrapText="1"/>
    </xf>
    <xf numFmtId="0" fontId="47" fillId="0" borderId="34" xfId="0" applyFont="1" applyBorder="1" applyAlignment="1" applyProtection="1">
      <alignment horizontal="center" vertical="center"/>
      <protection hidden="1"/>
    </xf>
    <xf numFmtId="0" fontId="81" fillId="2" borderId="9" xfId="0" applyFont="1" applyFill="1" applyBorder="1" applyAlignment="1" applyProtection="1">
      <alignment horizontal="center"/>
      <protection hidden="1"/>
    </xf>
    <xf numFmtId="14" fontId="47" fillId="2" borderId="36" xfId="0" applyNumberFormat="1" applyFont="1" applyFill="1" applyBorder="1" applyAlignment="1">
      <alignment horizontal="center" vertical="center" wrapText="1"/>
    </xf>
    <xf numFmtId="0" fontId="47" fillId="0" borderId="45" xfId="0" applyFont="1" applyBorder="1" applyAlignment="1" applyProtection="1">
      <alignment horizontal="center" vertical="center"/>
      <protection hidden="1"/>
    </xf>
    <xf numFmtId="0" fontId="81" fillId="2" borderId="46" xfId="0" applyFont="1" applyFill="1" applyBorder="1" applyAlignment="1" applyProtection="1">
      <alignment horizontal="center"/>
      <protection hidden="1"/>
    </xf>
    <xf numFmtId="0" fontId="47" fillId="2" borderId="46" xfId="0" applyFont="1" applyFill="1" applyBorder="1" applyAlignment="1" applyProtection="1">
      <alignment horizontal="center" vertical="center" wrapText="1"/>
      <protection hidden="1"/>
    </xf>
    <xf numFmtId="167" fontId="47" fillId="2" borderId="46" xfId="0" applyNumberFormat="1" applyFont="1" applyFill="1" applyBorder="1" applyAlignment="1" applyProtection="1">
      <alignment horizontal="center" vertical="center"/>
      <protection hidden="1"/>
    </xf>
    <xf numFmtId="14" fontId="47" fillId="2" borderId="39" xfId="0" applyNumberFormat="1" applyFont="1" applyFill="1" applyBorder="1" applyAlignment="1">
      <alignment horizontal="center" vertical="center" wrapText="1"/>
    </xf>
    <xf numFmtId="0" fontId="81" fillId="0" borderId="30" xfId="0" applyFont="1" applyBorder="1" applyProtection="1">
      <protection hidden="1"/>
    </xf>
    <xf numFmtId="170" fontId="47" fillId="0" borderId="3" xfId="0" applyNumberFormat="1" applyFont="1" applyBorder="1" applyAlignment="1" applyProtection="1">
      <alignment horizontal="center" vertical="center"/>
      <protection hidden="1"/>
    </xf>
    <xf numFmtId="2" fontId="47" fillId="2" borderId="42" xfId="0" applyNumberFormat="1" applyFont="1" applyFill="1" applyBorder="1" applyAlignment="1" applyProtection="1">
      <alignment horizontal="center" vertical="center"/>
      <protection hidden="1"/>
    </xf>
    <xf numFmtId="0" fontId="47" fillId="2" borderId="36" xfId="0" applyFont="1" applyFill="1" applyBorder="1" applyAlignment="1">
      <alignment horizontal="center" vertical="center" wrapText="1"/>
    </xf>
    <xf numFmtId="0" fontId="47" fillId="2" borderId="39" xfId="0" applyFont="1" applyFill="1" applyBorder="1" applyAlignment="1">
      <alignment horizontal="center" vertical="center" wrapText="1"/>
    </xf>
    <xf numFmtId="0" fontId="47" fillId="0" borderId="16" xfId="0" applyFont="1" applyBorder="1" applyAlignment="1" applyProtection="1">
      <alignment horizontal="center" vertical="center"/>
      <protection hidden="1"/>
    </xf>
    <xf numFmtId="0" fontId="81" fillId="0" borderId="29" xfId="0" applyFont="1" applyBorder="1" applyAlignment="1" applyProtection="1">
      <alignment vertical="center"/>
      <protection hidden="1"/>
    </xf>
    <xf numFmtId="0" fontId="47" fillId="0" borderId="21" xfId="0" applyFont="1" applyBorder="1" applyAlignment="1" applyProtection="1">
      <alignment horizontal="center" vertical="center"/>
      <protection hidden="1"/>
    </xf>
    <xf numFmtId="0" fontId="81" fillId="2" borderId="22" xfId="0" applyFont="1" applyFill="1" applyBorder="1" applyAlignment="1" applyProtection="1">
      <alignment vertical="center"/>
      <protection hidden="1"/>
    </xf>
    <xf numFmtId="0" fontId="47" fillId="2" borderId="22" xfId="0" applyFont="1" applyFill="1" applyBorder="1" applyAlignment="1" applyProtection="1">
      <alignment horizontal="center" vertical="center" wrapText="1"/>
      <protection hidden="1"/>
    </xf>
    <xf numFmtId="0" fontId="47" fillId="2" borderId="22" xfId="0" applyFont="1" applyFill="1" applyBorder="1" applyAlignment="1" applyProtection="1">
      <alignment horizontal="center" vertical="center"/>
      <protection hidden="1"/>
    </xf>
    <xf numFmtId="170" fontId="47" fillId="2" borderId="29" xfId="0" applyNumberFormat="1" applyFont="1" applyFill="1" applyBorder="1" applyAlignment="1" applyProtection="1">
      <alignment horizontal="center" vertical="center"/>
      <protection hidden="1"/>
    </xf>
    <xf numFmtId="14" fontId="47" fillId="2" borderId="1" xfId="0" applyNumberFormat="1" applyFont="1" applyFill="1" applyBorder="1" applyAlignment="1">
      <alignment vertical="center" wrapText="1"/>
    </xf>
    <xf numFmtId="0" fontId="47" fillId="0" borderId="0" xfId="0" applyFont="1" applyBorder="1" applyAlignment="1" applyProtection="1">
      <alignment vertical="center" textRotation="90"/>
      <protection hidden="1"/>
    </xf>
    <xf numFmtId="0" fontId="81" fillId="0" borderId="0" xfId="0" applyFont="1" applyBorder="1" applyAlignment="1" applyProtection="1">
      <alignment vertical="center"/>
      <protection hidden="1"/>
    </xf>
    <xf numFmtId="170" fontId="47" fillId="0" borderId="0" xfId="0" applyNumberFormat="1" applyFont="1" applyBorder="1" applyAlignment="1" applyProtection="1">
      <alignment horizontal="center" vertical="center"/>
      <protection hidden="1"/>
    </xf>
    <xf numFmtId="14" fontId="47" fillId="0" borderId="0" xfId="0" applyNumberFormat="1" applyFont="1" applyBorder="1" applyAlignment="1" applyProtection="1">
      <alignment horizontal="center" vertical="center"/>
      <protection hidden="1"/>
    </xf>
    <xf numFmtId="0" fontId="26" fillId="5" borderId="19" xfId="0" applyFont="1" applyFill="1" applyBorder="1" applyAlignment="1" applyProtection="1">
      <alignment horizontal="center" vertical="center" wrapText="1"/>
      <protection hidden="1"/>
    </xf>
    <xf numFmtId="0" fontId="26" fillId="5" borderId="21" xfId="0" applyFont="1" applyFill="1" applyBorder="1" applyAlignment="1" applyProtection="1">
      <alignment horizontal="center" vertical="center" wrapText="1"/>
      <protection hidden="1"/>
    </xf>
    <xf numFmtId="0" fontId="26" fillId="5" borderId="22" xfId="0" applyFont="1" applyFill="1" applyBorder="1" applyAlignment="1" applyProtection="1">
      <alignment horizontal="center" vertical="center" wrapText="1"/>
      <protection hidden="1"/>
    </xf>
    <xf numFmtId="170" fontId="26" fillId="5" borderId="20" xfId="0" applyNumberFormat="1" applyFont="1" applyFill="1" applyBorder="1" applyAlignment="1" applyProtection="1">
      <alignment horizontal="center" vertical="center" wrapText="1"/>
      <protection hidden="1"/>
    </xf>
    <xf numFmtId="0" fontId="26" fillId="5" borderId="20" xfId="0" applyFont="1" applyFill="1" applyBorder="1" applyAlignment="1" applyProtection="1">
      <alignment horizontal="center" vertical="center" wrapText="1"/>
      <protection hidden="1"/>
    </xf>
    <xf numFmtId="0" fontId="47" fillId="2" borderId="42" xfId="0" applyFont="1" applyFill="1" applyBorder="1" applyAlignment="1">
      <alignment horizontal="center" vertical="center" wrapText="1"/>
    </xf>
    <xf numFmtId="165" fontId="47" fillId="2" borderId="42" xfId="0" applyNumberFormat="1" applyFont="1" applyFill="1" applyBorder="1" applyAlignment="1">
      <alignment horizontal="center" vertical="center" wrapText="1"/>
    </xf>
    <xf numFmtId="167" fontId="47" fillId="2" borderId="42" xfId="0" applyNumberFormat="1" applyFont="1" applyFill="1" applyBorder="1" applyAlignment="1">
      <alignment horizontal="center" vertical="center" wrapText="1"/>
    </xf>
    <xf numFmtId="14" fontId="47" fillId="0" borderId="43" xfId="0" applyNumberFormat="1" applyFont="1" applyBorder="1" applyAlignment="1" applyProtection="1">
      <alignment horizontal="center" vertical="center"/>
      <protection hidden="1"/>
    </xf>
    <xf numFmtId="0" fontId="47" fillId="2" borderId="9" xfId="0" applyFont="1" applyFill="1" applyBorder="1" applyAlignment="1">
      <alignment horizontal="center" vertical="center" wrapText="1"/>
    </xf>
    <xf numFmtId="165" fontId="47" fillId="2" borderId="9" xfId="0" applyNumberFormat="1" applyFont="1" applyFill="1" applyBorder="1" applyAlignment="1">
      <alignment horizontal="center" vertical="center" wrapText="1"/>
    </xf>
    <xf numFmtId="167" fontId="47" fillId="2" borderId="9" xfId="0" applyNumberFormat="1" applyFont="1" applyFill="1" applyBorder="1" applyAlignment="1">
      <alignment horizontal="center" vertical="center" wrapText="1"/>
    </xf>
    <xf numFmtId="2" fontId="47" fillId="2" borderId="9" xfId="0" applyNumberFormat="1" applyFont="1" applyFill="1" applyBorder="1" applyAlignment="1">
      <alignment horizontal="center" vertical="center" wrapText="1"/>
    </xf>
    <xf numFmtId="166" fontId="47" fillId="2" borderId="9" xfId="0" applyNumberFormat="1" applyFont="1" applyFill="1" applyBorder="1" applyAlignment="1">
      <alignment horizontal="center" vertical="center" wrapText="1"/>
    </xf>
    <xf numFmtId="2" fontId="47" fillId="2" borderId="46" xfId="0" applyNumberFormat="1" applyFont="1" applyFill="1" applyBorder="1" applyAlignment="1">
      <alignment horizontal="center" vertical="center" wrapText="1"/>
    </xf>
    <xf numFmtId="0" fontId="47" fillId="2" borderId="46" xfId="0" applyFont="1" applyFill="1" applyBorder="1" applyAlignment="1">
      <alignment horizontal="center" vertical="center" wrapText="1"/>
    </xf>
    <xf numFmtId="165" fontId="47" fillId="2" borderId="46" xfId="0" applyNumberFormat="1" applyFont="1" applyFill="1" applyBorder="1" applyAlignment="1">
      <alignment horizontal="center" vertical="center" wrapText="1"/>
    </xf>
    <xf numFmtId="167" fontId="47" fillId="2" borderId="46" xfId="0" applyNumberFormat="1" applyFont="1" applyFill="1" applyBorder="1" applyAlignment="1">
      <alignment horizontal="center" vertical="center" wrapText="1"/>
    </xf>
    <xf numFmtId="14" fontId="47" fillId="0" borderId="39" xfId="0" applyNumberFormat="1" applyFont="1" applyBorder="1" applyAlignment="1" applyProtection="1">
      <alignment horizontal="center" vertical="center"/>
      <protection hidden="1"/>
    </xf>
    <xf numFmtId="0" fontId="81" fillId="0" borderId="0" xfId="0" applyFont="1" applyBorder="1" applyAlignment="1" applyProtection="1">
      <alignment horizontal="center" vertical="center"/>
      <protection hidden="1"/>
    </xf>
    <xf numFmtId="0" fontId="81" fillId="0" borderId="24" xfId="0" applyFont="1" applyBorder="1" applyProtection="1">
      <protection hidden="1"/>
    </xf>
    <xf numFmtId="2" fontId="47" fillId="2" borderId="0" xfId="0" applyNumberFormat="1" applyFont="1" applyFill="1" applyBorder="1" applyAlignment="1" applyProtection="1">
      <alignment horizontal="center" vertical="center"/>
      <protection hidden="1"/>
    </xf>
    <xf numFmtId="0" fontId="47" fillId="0" borderId="51" xfId="0" applyFont="1" applyBorder="1" applyProtection="1">
      <protection hidden="1"/>
    </xf>
    <xf numFmtId="2" fontId="47" fillId="2" borderId="42" xfId="0" applyNumberFormat="1" applyFont="1" applyFill="1" applyBorder="1" applyAlignment="1">
      <alignment horizontal="center" vertical="center" wrapText="1"/>
    </xf>
    <xf numFmtId="14" fontId="47" fillId="2" borderId="43" xfId="0" applyNumberFormat="1" applyFont="1" applyFill="1" applyBorder="1" applyAlignment="1" applyProtection="1">
      <alignment horizontal="center" vertical="center"/>
      <protection hidden="1"/>
    </xf>
    <xf numFmtId="14" fontId="47" fillId="2" borderId="36" xfId="0" applyNumberFormat="1" applyFont="1" applyFill="1" applyBorder="1" applyAlignment="1" applyProtection="1">
      <alignment horizontal="center" vertical="center"/>
      <protection hidden="1"/>
    </xf>
    <xf numFmtId="14" fontId="47" fillId="2" borderId="39" xfId="0" applyNumberFormat="1" applyFont="1" applyFill="1" applyBorder="1" applyAlignment="1" applyProtection="1">
      <alignment horizontal="center" vertical="center"/>
      <protection hidden="1"/>
    </xf>
    <xf numFmtId="0" fontId="26" fillId="5" borderId="68" xfId="0" applyFont="1" applyFill="1" applyBorder="1" applyAlignment="1" applyProtection="1">
      <alignment horizontal="center" vertical="center" wrapText="1"/>
      <protection hidden="1"/>
    </xf>
    <xf numFmtId="0" fontId="81" fillId="0" borderId="41" xfId="0" applyFont="1" applyBorder="1" applyProtection="1">
      <protection hidden="1"/>
    </xf>
    <xf numFmtId="0" fontId="24" fillId="0" borderId="46" xfId="0" applyFont="1" applyBorder="1" applyAlignment="1" applyProtection="1">
      <alignment horizontal="center" vertical="center"/>
      <protection hidden="1"/>
    </xf>
    <xf numFmtId="0" fontId="26" fillId="2" borderId="46" xfId="0" applyFont="1" applyFill="1" applyBorder="1" applyAlignment="1" applyProtection="1">
      <alignment horizontal="center" vertical="center" wrapText="1"/>
      <protection hidden="1"/>
    </xf>
    <xf numFmtId="166" fontId="26" fillId="2" borderId="46" xfId="0" applyNumberFormat="1" applyFont="1" applyFill="1" applyBorder="1" applyAlignment="1">
      <alignment horizontal="center" vertical="center" wrapText="1"/>
    </xf>
    <xf numFmtId="0" fontId="26" fillId="2" borderId="46" xfId="0" applyFont="1" applyFill="1" applyBorder="1" applyAlignment="1">
      <alignment horizontal="center" vertical="center" wrapText="1"/>
    </xf>
    <xf numFmtId="170" fontId="26" fillId="2" borderId="46" xfId="0" applyNumberFormat="1" applyFont="1" applyFill="1" applyBorder="1" applyAlignment="1">
      <alignment horizontal="center" vertical="center" wrapText="1"/>
    </xf>
    <xf numFmtId="14" fontId="26" fillId="2" borderId="39" xfId="0" applyNumberFormat="1" applyFont="1" applyFill="1" applyBorder="1" applyAlignment="1">
      <alignment horizontal="center" vertical="center" wrapText="1"/>
    </xf>
    <xf numFmtId="0" fontId="47" fillId="2" borderId="0" xfId="0" applyFont="1" applyFill="1" applyBorder="1" applyProtection="1">
      <protection hidden="1"/>
    </xf>
    <xf numFmtId="0" fontId="81" fillId="0" borderId="49" xfId="0" applyFont="1" applyBorder="1" applyProtection="1">
      <protection hidden="1"/>
    </xf>
    <xf numFmtId="0" fontId="47" fillId="0" borderId="5" xfId="0" applyFont="1" applyBorder="1" applyAlignment="1" applyProtection="1">
      <alignment vertical="center" textRotation="90" wrapText="1"/>
      <protection hidden="1"/>
    </xf>
    <xf numFmtId="0" fontId="47" fillId="0" borderId="5" xfId="0" applyFont="1" applyBorder="1" applyAlignment="1" applyProtection="1">
      <alignment horizontal="center" vertical="center"/>
      <protection hidden="1"/>
    </xf>
    <xf numFmtId="0" fontId="81" fillId="0" borderId="5" xfId="0" applyFont="1" applyBorder="1" applyAlignment="1" applyProtection="1">
      <alignment vertical="center"/>
      <protection hidden="1"/>
    </xf>
    <xf numFmtId="0" fontId="47" fillId="2" borderId="5" xfId="0" applyFont="1" applyFill="1" applyBorder="1" applyAlignment="1" applyProtection="1">
      <alignment horizontal="center" vertical="center"/>
      <protection hidden="1"/>
    </xf>
    <xf numFmtId="170" fontId="47" fillId="2" borderId="5" xfId="0" applyNumberFormat="1" applyFont="1" applyFill="1" applyBorder="1" applyAlignment="1" applyProtection="1">
      <alignment horizontal="center" vertical="center"/>
      <protection hidden="1"/>
    </xf>
    <xf numFmtId="14" fontId="47" fillId="2" borderId="5" xfId="0" applyNumberFormat="1" applyFont="1" applyFill="1" applyBorder="1" applyAlignment="1" applyProtection="1">
      <alignment horizontal="center" vertical="center"/>
      <protection hidden="1"/>
    </xf>
    <xf numFmtId="0" fontId="47" fillId="2" borderId="5" xfId="0" applyFont="1" applyFill="1" applyBorder="1" applyProtection="1">
      <protection hidden="1"/>
    </xf>
    <xf numFmtId="0" fontId="81" fillId="0" borderId="40" xfId="0" applyFont="1" applyFill="1" applyBorder="1" applyProtection="1">
      <protection hidden="1"/>
    </xf>
    <xf numFmtId="1" fontId="9" fillId="0" borderId="0" xfId="0" applyNumberFormat="1" applyFont="1" applyAlignment="1"/>
    <xf numFmtId="170" fontId="28" fillId="6" borderId="11" xfId="0" applyNumberFormat="1" applyFont="1" applyFill="1" applyBorder="1" applyAlignment="1" applyProtection="1">
      <alignment vertical="center" wrapText="1"/>
      <protection hidden="1"/>
    </xf>
    <xf numFmtId="170" fontId="28" fillId="6" borderId="14" xfId="0" applyNumberFormat="1" applyFont="1" applyFill="1" applyBorder="1" applyAlignment="1" applyProtection="1">
      <alignment vertical="center" wrapText="1"/>
      <protection hidden="1"/>
    </xf>
    <xf numFmtId="0" fontId="71" fillId="0" borderId="1"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76" xfId="0" applyFont="1" applyBorder="1" applyAlignment="1">
      <alignment horizontal="center" vertical="center" wrapText="1"/>
    </xf>
    <xf numFmtId="0" fontId="71" fillId="2" borderId="1" xfId="0" applyFont="1" applyFill="1" applyBorder="1" applyAlignment="1">
      <alignment horizontal="center" vertical="center" wrapText="1"/>
    </xf>
    <xf numFmtId="180" fontId="9" fillId="0" borderId="84" xfId="0" applyNumberFormat="1" applyFont="1" applyBorder="1" applyAlignment="1">
      <alignment horizontal="centerContinuous" vertical="center" wrapText="1"/>
    </xf>
    <xf numFmtId="0" fontId="9" fillId="0" borderId="84" xfId="0" applyFont="1" applyBorder="1" applyAlignment="1">
      <alignment horizontal="centerContinuous" vertical="center" wrapText="1"/>
    </xf>
    <xf numFmtId="2" fontId="72" fillId="0" borderId="84" xfId="0" applyNumberFormat="1" applyFont="1" applyBorder="1" applyAlignment="1">
      <alignment horizontal="centerContinuous" vertical="center" wrapText="1"/>
    </xf>
    <xf numFmtId="0" fontId="72" fillId="0" borderId="84" xfId="0" applyFont="1" applyBorder="1" applyAlignment="1">
      <alignment horizontal="center" vertical="center" wrapText="1"/>
    </xf>
    <xf numFmtId="165" fontId="72" fillId="0" borderId="84" xfId="0" applyNumberFormat="1" applyFont="1" applyBorder="1" applyAlignment="1">
      <alignment horizontal="centerContinuous" vertical="center" wrapText="1"/>
    </xf>
    <xf numFmtId="2" fontId="9" fillId="0" borderId="85" xfId="0" applyNumberFormat="1" applyFont="1" applyBorder="1" applyAlignment="1">
      <alignment horizontal="center" vertical="center" wrapText="1"/>
    </xf>
    <xf numFmtId="167" fontId="9" fillId="0" borderId="84" xfId="0" applyNumberFormat="1" applyFont="1" applyBorder="1" applyAlignment="1">
      <alignment horizontal="center" vertical="center" wrapText="1"/>
    </xf>
    <xf numFmtId="2" fontId="9" fillId="0" borderId="84" xfId="0" applyNumberFormat="1" applyFont="1" applyBorder="1" applyAlignment="1">
      <alignment horizontal="center" vertical="center" wrapText="1"/>
    </xf>
    <xf numFmtId="165" fontId="9" fillId="0" borderId="85" xfId="0" applyNumberFormat="1" applyFont="1" applyBorder="1" applyAlignment="1">
      <alignment horizontal="center" vertical="center" wrapText="1"/>
    </xf>
    <xf numFmtId="0" fontId="80" fillId="0" borderId="84" xfId="0" applyFont="1" applyBorder="1" applyAlignment="1">
      <alignment horizontal="center" vertical="center" wrapText="1"/>
    </xf>
    <xf numFmtId="0" fontId="7" fillId="5" borderId="18" xfId="0" applyFont="1" applyFill="1" applyBorder="1" applyAlignment="1" applyProtection="1">
      <alignment horizontal="center" vertical="center" wrapText="1"/>
      <protection hidden="1"/>
    </xf>
    <xf numFmtId="0" fontId="9" fillId="0" borderId="0" xfId="0" applyFont="1" applyAlignment="1">
      <alignment horizontal="left" vertical="center" wrapText="1"/>
    </xf>
    <xf numFmtId="0" fontId="9" fillId="0" borderId="0" xfId="0" applyFont="1" applyAlignment="1">
      <alignment horizontal="left" vertical="justify"/>
    </xf>
    <xf numFmtId="0" fontId="68" fillId="0" borderId="0" xfId="0" applyFont="1" applyAlignment="1">
      <alignment horizontal="left" vertical="justify" wrapText="1"/>
    </xf>
    <xf numFmtId="0" fontId="9" fillId="0" borderId="0" xfId="0" applyFont="1" applyAlignment="1">
      <alignment horizontal="left" vertical="justify" wrapText="1"/>
    </xf>
    <xf numFmtId="0" fontId="10" fillId="0" borderId="0" xfId="0" applyFont="1" applyAlignment="1">
      <alignment horizontal="left" vertical="center" wrapText="1"/>
    </xf>
    <xf numFmtId="0" fontId="3" fillId="0" borderId="0" xfId="0" applyFont="1" applyAlignment="1">
      <alignment horizontal="left" vertical="justify" wrapText="1"/>
    </xf>
    <xf numFmtId="0" fontId="9" fillId="0" borderId="0" xfId="0" applyFont="1" applyAlignment="1">
      <alignment horizontal="justify" vertical="justify" wrapText="1"/>
    </xf>
    <xf numFmtId="0" fontId="10" fillId="0" borderId="0" xfId="0" applyFont="1" applyAlignment="1">
      <alignment horizontal="center" vertical="center" wrapText="1"/>
    </xf>
    <xf numFmtId="0" fontId="11" fillId="0" borderId="0" xfId="0" applyFont="1" applyAlignment="1">
      <alignment horizontal="left" vertical="center" wrapText="1"/>
    </xf>
    <xf numFmtId="0" fontId="90" fillId="0" borderId="0" xfId="0" applyFont="1" applyAlignment="1">
      <alignment horizontal="center" vertical="center" readingOrder="1"/>
    </xf>
    <xf numFmtId="0" fontId="91" fillId="0" borderId="0" xfId="0" applyFont="1" applyAlignment="1">
      <alignment horizontal="center" vertical="center" readingOrder="1"/>
    </xf>
    <xf numFmtId="166" fontId="3" fillId="15" borderId="9" xfId="0" applyNumberFormat="1" applyFont="1" applyFill="1" applyBorder="1" applyAlignment="1" applyProtection="1">
      <alignment horizontal="center" vertical="center"/>
      <protection locked="0" hidden="1"/>
    </xf>
    <xf numFmtId="166" fontId="28" fillId="15" borderId="39" xfId="0" applyNumberFormat="1" applyFont="1" applyFill="1" applyBorder="1" applyAlignment="1" applyProtection="1">
      <alignment horizontal="center" vertical="center" wrapText="1"/>
      <protection hidden="1"/>
    </xf>
    <xf numFmtId="167" fontId="2" fillId="15" borderId="36" xfId="0" applyNumberFormat="1" applyFont="1" applyFill="1" applyBorder="1" applyAlignment="1" applyProtection="1">
      <alignment horizontal="center" vertical="center" wrapText="1"/>
      <protection hidden="1"/>
    </xf>
    <xf numFmtId="167" fontId="2" fillId="15" borderId="39" xfId="0" applyNumberFormat="1" applyFont="1" applyFill="1" applyBorder="1" applyAlignment="1" applyProtection="1">
      <alignment horizontal="center" vertical="center" wrapText="1"/>
      <protection hidden="1"/>
    </xf>
    <xf numFmtId="166" fontId="28" fillId="15" borderId="57" xfId="0" applyNumberFormat="1" applyFont="1" applyFill="1" applyBorder="1" applyAlignment="1" applyProtection="1">
      <alignment horizontal="center" vertical="center" wrapText="1"/>
      <protection hidden="1"/>
    </xf>
    <xf numFmtId="0" fontId="3" fillId="15" borderId="9" xfId="0" applyFont="1" applyFill="1" applyBorder="1" applyAlignment="1" applyProtection="1">
      <alignment horizontal="center" vertical="center"/>
      <protection locked="0" hidden="1"/>
    </xf>
    <xf numFmtId="0" fontId="9" fillId="0" borderId="0" xfId="0" applyFont="1" applyBorder="1"/>
    <xf numFmtId="0" fontId="9" fillId="0" borderId="1" xfId="0" applyFont="1" applyBorder="1" applyAlignment="1">
      <alignment horizontal="centerContinuous" vertical="center" wrapText="1"/>
    </xf>
    <xf numFmtId="180" fontId="9" fillId="0" borderId="0" xfId="0" applyNumberFormat="1" applyFont="1" applyBorder="1" applyAlignment="1">
      <alignment horizontal="centerContinuous" vertical="center" wrapText="1"/>
    </xf>
    <xf numFmtId="0" fontId="9" fillId="0" borderId="0" xfId="0" applyFont="1" applyBorder="1" applyAlignment="1">
      <alignment horizontal="centerContinuous" vertical="center" wrapText="1"/>
    </xf>
    <xf numFmtId="165" fontId="71" fillId="2" borderId="0" xfId="0" applyNumberFormat="1" applyFont="1" applyFill="1" applyBorder="1" applyAlignment="1">
      <alignment horizontal="center" vertical="center" wrapText="1"/>
    </xf>
    <xf numFmtId="0" fontId="71" fillId="2" borderId="0" xfId="0" applyFont="1" applyFill="1" applyBorder="1" applyAlignment="1">
      <alignment horizontal="center" vertical="center" wrapText="1"/>
    </xf>
    <xf numFmtId="165" fontId="71" fillId="2" borderId="0" xfId="0" applyNumberFormat="1" applyFont="1" applyFill="1" applyBorder="1" applyAlignment="1">
      <alignment horizontal="centerContinuous" vertical="center" wrapText="1"/>
    </xf>
    <xf numFmtId="0" fontId="21" fillId="0" borderId="0" xfId="0" applyFont="1" applyBorder="1" applyAlignment="1">
      <alignment horizontal="center" vertical="center" wrapText="1"/>
    </xf>
    <xf numFmtId="0" fontId="9" fillId="0" borderId="0" xfId="0" applyFont="1" applyAlignment="1">
      <alignment horizontal="center" vertical="justify" wrapText="1"/>
    </xf>
    <xf numFmtId="2" fontId="5" fillId="7" borderId="50" xfId="0" applyNumberFormat="1" applyFont="1" applyFill="1" applyBorder="1" applyAlignment="1" applyProtection="1">
      <alignment horizontal="center" vertical="center" wrapText="1"/>
      <protection hidden="1"/>
    </xf>
    <xf numFmtId="167" fontId="5" fillId="7" borderId="42" xfId="0" applyNumberFormat="1" applyFont="1" applyFill="1" applyBorder="1" applyAlignment="1" applyProtection="1">
      <alignment horizontal="center" vertical="center" wrapText="1"/>
      <protection hidden="1"/>
    </xf>
    <xf numFmtId="165" fontId="5" fillId="7" borderId="43" xfId="0" applyNumberFormat="1" applyFont="1" applyFill="1" applyBorder="1" applyAlignment="1" applyProtection="1">
      <alignment horizontal="center" vertical="center" wrapText="1"/>
      <protection hidden="1"/>
    </xf>
    <xf numFmtId="165" fontId="5" fillId="7" borderId="59" xfId="0" applyNumberFormat="1" applyFont="1" applyFill="1" applyBorder="1" applyAlignment="1" applyProtection="1">
      <alignment horizontal="center" vertical="center" wrapText="1"/>
      <protection hidden="1"/>
    </xf>
    <xf numFmtId="164" fontId="5" fillId="7" borderId="46" xfId="0" applyNumberFormat="1" applyFont="1" applyFill="1" applyBorder="1" applyAlignment="1" applyProtection="1">
      <alignment horizontal="center" vertical="center" wrapText="1"/>
      <protection hidden="1"/>
    </xf>
    <xf numFmtId="165" fontId="5" fillId="7" borderId="46" xfId="0" applyNumberFormat="1" applyFont="1" applyFill="1" applyBorder="1" applyAlignment="1" applyProtection="1">
      <alignment horizontal="center" vertical="center" wrapText="1"/>
      <protection hidden="1"/>
    </xf>
    <xf numFmtId="169" fontId="5" fillId="7" borderId="39" xfId="0" applyNumberFormat="1"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vertical="center" wrapText="1"/>
      <protection hidden="1"/>
    </xf>
    <xf numFmtId="0" fontId="32" fillId="5" borderId="18" xfId="0"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10" fillId="0" borderId="76"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0" fontId="80" fillId="0" borderId="0" xfId="0" applyFont="1" applyBorder="1" applyAlignment="1">
      <alignment horizontal="center" vertical="center" wrapText="1"/>
    </xf>
    <xf numFmtId="166" fontId="10" fillId="0" borderId="0" xfId="0" applyNumberFormat="1" applyFont="1" applyBorder="1" applyAlignment="1">
      <alignment horizontal="center" vertical="center" wrapText="1"/>
    </xf>
    <xf numFmtId="0" fontId="80" fillId="0" borderId="0" xfId="0" applyFont="1" applyBorder="1" applyAlignment="1">
      <alignment horizontal="centerContinuous" vertical="center" wrapText="1"/>
    </xf>
    <xf numFmtId="0" fontId="68" fillId="0" borderId="0" xfId="0" applyFont="1" applyAlignment="1">
      <alignment horizontal="left" vertical="center" wrapText="1"/>
    </xf>
    <xf numFmtId="0" fontId="68" fillId="0" borderId="0" xfId="0" applyFont="1"/>
    <xf numFmtId="0" fontId="68" fillId="0" borderId="0" xfId="0" applyFont="1" applyAlignment="1">
      <alignment horizontal="justify" vertical="justify" wrapText="1"/>
    </xf>
    <xf numFmtId="0" fontId="95" fillId="2" borderId="0" xfId="0" applyFont="1" applyFill="1" applyBorder="1"/>
    <xf numFmtId="0" fontId="21" fillId="0" borderId="0" xfId="0" applyFont="1" applyAlignment="1">
      <alignment horizontal="left" vertical="center"/>
    </xf>
    <xf numFmtId="167" fontId="9" fillId="0" borderId="2" xfId="0" applyNumberFormat="1" applyFont="1" applyFill="1" applyBorder="1" applyAlignment="1">
      <alignment horizontal="centerContinuous" vertical="center" wrapText="1"/>
    </xf>
    <xf numFmtId="0" fontId="10" fillId="0" borderId="0" xfId="0" applyFont="1" applyBorder="1" applyAlignment="1">
      <alignment vertical="center" wrapText="1"/>
    </xf>
    <xf numFmtId="167" fontId="45" fillId="29" borderId="14" xfId="0" applyNumberFormat="1" applyFont="1" applyFill="1" applyBorder="1" applyAlignment="1" applyProtection="1">
      <alignment horizontal="center" vertical="center" wrapText="1"/>
      <protection locked="0" hidden="1"/>
    </xf>
    <xf numFmtId="0" fontId="45" fillId="29" borderId="11" xfId="0" applyFont="1" applyFill="1" applyBorder="1" applyAlignment="1" applyProtection="1">
      <alignment horizontal="center" vertical="center" wrapText="1"/>
      <protection locked="0" hidden="1"/>
    </xf>
    <xf numFmtId="167" fontId="45" fillId="29" borderId="9" xfId="0" applyNumberFormat="1" applyFont="1" applyFill="1" applyBorder="1" applyAlignment="1" applyProtection="1">
      <alignment horizontal="center" vertical="center" wrapText="1"/>
      <protection locked="0" hidden="1"/>
    </xf>
    <xf numFmtId="0" fontId="96" fillId="5" borderId="9" xfId="0" applyFont="1" applyFill="1" applyBorder="1" applyAlignment="1" applyProtection="1">
      <alignment horizontal="center" vertical="center" wrapText="1"/>
      <protection hidden="1"/>
    </xf>
    <xf numFmtId="14" fontId="94" fillId="5" borderId="9" xfId="0" applyNumberFormat="1" applyFont="1" applyFill="1" applyBorder="1" applyAlignment="1" applyProtection="1">
      <alignment horizontal="center" vertical="center" wrapText="1"/>
      <protection hidden="1"/>
    </xf>
    <xf numFmtId="169" fontId="97" fillId="5" borderId="35" xfId="0" applyNumberFormat="1" applyFont="1" applyFill="1" applyBorder="1" applyAlignment="1" applyProtection="1">
      <alignment horizontal="center" vertical="center"/>
      <protection hidden="1"/>
    </xf>
    <xf numFmtId="169" fontId="97" fillId="2" borderId="35" xfId="0" applyNumberFormat="1" applyFont="1" applyFill="1" applyBorder="1" applyAlignment="1" applyProtection="1">
      <alignment vertical="center"/>
      <protection hidden="1"/>
    </xf>
    <xf numFmtId="169" fontId="97" fillId="2" borderId="35" xfId="0" applyNumberFormat="1" applyFont="1" applyFill="1" applyBorder="1" applyAlignment="1" applyProtection="1">
      <alignment vertical="center" wrapText="1"/>
      <protection hidden="1"/>
    </xf>
    <xf numFmtId="14" fontId="96" fillId="5" borderId="9" xfId="0" applyNumberFormat="1" applyFont="1" applyFill="1" applyBorder="1" applyAlignment="1" applyProtection="1">
      <alignment horizontal="center" vertical="center" wrapText="1"/>
      <protection hidden="1"/>
    </xf>
    <xf numFmtId="0" fontId="99" fillId="2" borderId="23" xfId="0" applyFont="1" applyFill="1" applyBorder="1" applyAlignment="1" applyProtection="1">
      <alignment horizontal="center" vertical="center" wrapText="1"/>
      <protection hidden="1"/>
    </xf>
    <xf numFmtId="0" fontId="94" fillId="7" borderId="46" xfId="0" applyFont="1" applyFill="1" applyBorder="1" applyAlignment="1" applyProtection="1">
      <alignment horizontal="center" vertical="center" wrapText="1"/>
      <protection hidden="1"/>
    </xf>
    <xf numFmtId="0" fontId="94" fillId="7" borderId="9" xfId="0" applyFont="1" applyFill="1" applyBorder="1" applyAlignment="1" applyProtection="1">
      <alignment horizontal="center" vertical="center" wrapText="1"/>
      <protection hidden="1"/>
    </xf>
    <xf numFmtId="0" fontId="94" fillId="5" borderId="9" xfId="0" applyFont="1" applyFill="1" applyBorder="1" applyAlignment="1" applyProtection="1">
      <alignment horizontal="center" vertical="center" wrapText="1"/>
      <protection hidden="1"/>
    </xf>
    <xf numFmtId="0" fontId="45" fillId="2" borderId="30" xfId="0" applyFont="1" applyFill="1" applyBorder="1" applyAlignment="1" applyProtection="1">
      <alignment horizontal="center" vertical="center" wrapText="1"/>
      <protection hidden="1"/>
    </xf>
    <xf numFmtId="0" fontId="45" fillId="2" borderId="3" xfId="0" applyFont="1" applyFill="1" applyBorder="1" applyAlignment="1" applyProtection="1">
      <alignment horizontal="center" vertical="center" wrapText="1"/>
      <protection hidden="1"/>
    </xf>
    <xf numFmtId="0" fontId="100" fillId="0" borderId="0" xfId="0" applyFont="1" applyAlignment="1">
      <alignment vertical="center"/>
    </xf>
    <xf numFmtId="0" fontId="100" fillId="2" borderId="24" xfId="0" applyFont="1" applyFill="1" applyBorder="1" applyAlignment="1" applyProtection="1">
      <alignment horizontal="center" vertical="center" wrapText="1"/>
      <protection hidden="1"/>
    </xf>
    <xf numFmtId="0" fontId="45" fillId="2" borderId="24" xfId="0"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85" fillId="13" borderId="9" xfId="0" applyFont="1" applyFill="1" applyBorder="1" applyAlignment="1" applyProtection="1">
      <alignment horizontal="center" vertical="center" wrapText="1"/>
      <protection hidden="1"/>
    </xf>
    <xf numFmtId="0" fontId="85" fillId="17" borderId="43" xfId="0" applyFont="1" applyFill="1" applyBorder="1" applyAlignment="1" applyProtection="1">
      <alignment horizontal="center" vertical="center" wrapText="1"/>
      <protection hidden="1"/>
    </xf>
    <xf numFmtId="167" fontId="103" fillId="15" borderId="36" xfId="0" applyNumberFormat="1" applyFont="1" applyFill="1" applyBorder="1" applyAlignment="1" applyProtection="1">
      <alignment horizontal="center" vertical="center" wrapText="1"/>
      <protection hidden="1"/>
    </xf>
    <xf numFmtId="167" fontId="103" fillId="15" borderId="39" xfId="0" applyNumberFormat="1" applyFont="1" applyFill="1" applyBorder="1" applyAlignment="1" applyProtection="1">
      <alignment horizontal="center" vertical="center" wrapText="1"/>
      <protection hidden="1"/>
    </xf>
    <xf numFmtId="0" fontId="104" fillId="15" borderId="9" xfId="0" applyFont="1" applyFill="1" applyBorder="1" applyAlignment="1" applyProtection="1">
      <alignment horizontal="center" vertical="center" wrapText="1"/>
      <protection hidden="1"/>
    </xf>
    <xf numFmtId="166" fontId="69" fillId="6" borderId="9" xfId="0" applyNumberFormat="1" applyFont="1" applyFill="1" applyBorder="1" applyAlignment="1" applyProtection="1">
      <alignment horizontal="center" vertical="center"/>
      <protection locked="0" hidden="1"/>
    </xf>
    <xf numFmtId="0" fontId="69" fillId="6" borderId="9" xfId="0" applyFont="1" applyFill="1" applyBorder="1" applyAlignment="1" applyProtection="1">
      <alignment horizontal="center" vertical="center"/>
      <protection locked="0" hidden="1"/>
    </xf>
    <xf numFmtId="166" fontId="105" fillId="15" borderId="39" xfId="0" applyNumberFormat="1" applyFont="1" applyFill="1" applyBorder="1" applyAlignment="1" applyProtection="1">
      <alignment horizontal="center" vertical="center" wrapText="1"/>
      <protection hidden="1"/>
    </xf>
    <xf numFmtId="166" fontId="105" fillId="15" borderId="20" xfId="0" applyNumberFormat="1" applyFont="1" applyFill="1" applyBorder="1" applyAlignment="1" applyProtection="1">
      <alignment horizontal="center" vertical="center" wrapText="1"/>
      <protection hidden="1"/>
    </xf>
    <xf numFmtId="169" fontId="106" fillId="5" borderId="35" xfId="0" applyNumberFormat="1" applyFont="1" applyFill="1" applyBorder="1" applyAlignment="1" applyProtection="1">
      <alignment horizontal="center" vertical="center"/>
      <protection hidden="1"/>
    </xf>
    <xf numFmtId="169" fontId="106" fillId="2" borderId="35" xfId="0" applyNumberFormat="1" applyFont="1" applyFill="1" applyBorder="1" applyAlignment="1" applyProtection="1">
      <alignment vertical="center"/>
      <protection hidden="1"/>
    </xf>
    <xf numFmtId="169" fontId="106" fillId="2" borderId="35" xfId="0" applyNumberFormat="1" applyFont="1" applyFill="1" applyBorder="1" applyAlignment="1" applyProtection="1">
      <alignment vertical="center" wrapText="1"/>
      <protection hidden="1"/>
    </xf>
    <xf numFmtId="169" fontId="47" fillId="2" borderId="35" xfId="0" applyNumberFormat="1" applyFont="1" applyFill="1" applyBorder="1" applyAlignment="1" applyProtection="1">
      <alignment vertical="center" wrapText="1"/>
      <protection hidden="1"/>
    </xf>
    <xf numFmtId="14" fontId="85" fillId="5" borderId="9" xfId="0" applyNumberFormat="1" applyFont="1" applyFill="1" applyBorder="1" applyAlignment="1" applyProtection="1">
      <alignment horizontal="center" vertical="center" wrapText="1"/>
      <protection hidden="1"/>
    </xf>
    <xf numFmtId="14" fontId="106" fillId="5" borderId="9" xfId="0" applyNumberFormat="1" applyFont="1" applyFill="1" applyBorder="1" applyAlignment="1" applyProtection="1">
      <alignment horizontal="center" vertical="center" wrapText="1"/>
      <protection hidden="1"/>
    </xf>
    <xf numFmtId="0" fontId="106" fillId="5" borderId="9" xfId="0" applyFont="1" applyFill="1" applyBorder="1" applyAlignment="1" applyProtection="1">
      <alignment horizontal="center" vertical="center" wrapText="1"/>
      <protection hidden="1"/>
    </xf>
    <xf numFmtId="168" fontId="85" fillId="7" borderId="9" xfId="0" applyNumberFormat="1" applyFont="1" applyFill="1" applyBorder="1" applyAlignment="1" applyProtection="1">
      <alignment horizontal="center" vertical="center" wrapText="1"/>
      <protection hidden="1"/>
    </xf>
    <xf numFmtId="0" fontId="85" fillId="5" borderId="9" xfId="0" applyFont="1" applyFill="1" applyBorder="1" applyAlignment="1" applyProtection="1">
      <alignment horizontal="center" vertical="center" wrapText="1"/>
      <protection hidden="1"/>
    </xf>
    <xf numFmtId="0" fontId="85" fillId="7" borderId="9" xfId="0" applyFont="1" applyFill="1" applyBorder="1" applyAlignment="1" applyProtection="1">
      <alignment horizontal="center" vertical="center" wrapText="1"/>
      <protection hidden="1"/>
    </xf>
    <xf numFmtId="0" fontId="85" fillId="7" borderId="46" xfId="0" applyFont="1" applyFill="1" applyBorder="1" applyAlignment="1" applyProtection="1">
      <alignment horizontal="center" vertical="center" wrapText="1"/>
      <protection hidden="1"/>
    </xf>
    <xf numFmtId="0" fontId="24" fillId="0" borderId="76" xfId="0" applyFont="1" applyBorder="1" applyAlignment="1" applyProtection="1">
      <alignment horizontal="center" vertical="center" textRotation="90" wrapText="1"/>
      <protection hidden="1"/>
    </xf>
    <xf numFmtId="0" fontId="24" fillId="0" borderId="75" xfId="0" applyFont="1" applyBorder="1" applyAlignment="1" applyProtection="1">
      <alignment horizontal="center" vertical="center" textRotation="90" wrapText="1"/>
      <protection hidden="1"/>
    </xf>
    <xf numFmtId="0" fontId="24" fillId="0" borderId="52" xfId="0" applyFont="1" applyBorder="1" applyAlignment="1" applyProtection="1">
      <alignment horizontal="center" vertical="center" textRotation="90" wrapText="1"/>
      <protection hidden="1"/>
    </xf>
    <xf numFmtId="0" fontId="47" fillId="0" borderId="9" xfId="0" applyFont="1" applyFill="1" applyBorder="1" applyAlignment="1" applyProtection="1">
      <alignment horizontal="center" vertical="center"/>
      <protection hidden="1"/>
    </xf>
    <xf numFmtId="0" fontId="47" fillId="0" borderId="36" xfId="0" applyFont="1" applyFill="1" applyBorder="1" applyAlignment="1" applyProtection="1">
      <alignment horizontal="center" vertical="center"/>
      <protection hidden="1"/>
    </xf>
    <xf numFmtId="0" fontId="47" fillId="0" borderId="46" xfId="0" applyFont="1" applyFill="1" applyBorder="1" applyAlignment="1" applyProtection="1">
      <alignment horizontal="center" vertical="center"/>
      <protection hidden="1"/>
    </xf>
    <xf numFmtId="0" fontId="47" fillId="0" borderId="39"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85" fillId="18" borderId="6" xfId="0" applyFont="1" applyFill="1" applyBorder="1" applyAlignment="1" applyProtection="1">
      <alignment horizontal="center" vertical="center"/>
      <protection hidden="1"/>
    </xf>
    <xf numFmtId="0" fontId="85" fillId="18" borderId="7" xfId="0" applyFont="1" applyFill="1" applyBorder="1" applyAlignment="1" applyProtection="1">
      <alignment horizontal="center" vertical="center"/>
      <protection hidden="1"/>
    </xf>
    <xf numFmtId="0" fontId="85" fillId="18" borderId="8" xfId="0" applyFont="1" applyFill="1" applyBorder="1" applyAlignment="1" applyProtection="1">
      <alignment horizontal="center" vertical="center"/>
      <protection hidden="1"/>
    </xf>
    <xf numFmtId="14" fontId="47" fillId="0" borderId="78" xfId="0" applyNumberFormat="1" applyFont="1" applyBorder="1" applyAlignment="1" applyProtection="1">
      <alignment horizontal="center" vertical="center"/>
      <protection hidden="1"/>
    </xf>
    <xf numFmtId="14" fontId="47" fillId="0" borderId="68" xfId="0" applyNumberFormat="1" applyFont="1" applyBorder="1" applyAlignment="1" applyProtection="1">
      <alignment horizontal="center" vertical="center"/>
      <protection hidden="1"/>
    </xf>
    <xf numFmtId="14" fontId="47" fillId="0" borderId="83" xfId="0" applyNumberFormat="1" applyFont="1" applyBorder="1" applyAlignment="1" applyProtection="1">
      <alignment horizontal="center" vertical="center"/>
      <protection hidden="1"/>
    </xf>
    <xf numFmtId="0" fontId="82" fillId="18" borderId="2" xfId="0" applyFont="1" applyFill="1" applyBorder="1" applyAlignment="1" applyProtection="1">
      <alignment horizontal="center" vertical="center" wrapText="1"/>
      <protection hidden="1"/>
    </xf>
    <xf numFmtId="0" fontId="82" fillId="18" borderId="3" xfId="0" applyFont="1" applyFill="1" applyBorder="1" applyAlignment="1" applyProtection="1">
      <alignment horizontal="center" vertical="center" wrapText="1"/>
      <protection hidden="1"/>
    </xf>
    <xf numFmtId="0" fontId="82" fillId="18" borderId="4" xfId="0" applyFont="1" applyFill="1" applyBorder="1" applyAlignment="1" applyProtection="1">
      <alignment horizontal="center" vertical="center" wrapText="1"/>
      <protection hidden="1"/>
    </xf>
    <xf numFmtId="0" fontId="82" fillId="18" borderId="49" xfId="0" applyFont="1" applyFill="1" applyBorder="1" applyAlignment="1" applyProtection="1">
      <alignment horizontal="center" vertical="center" wrapText="1"/>
      <protection hidden="1"/>
    </xf>
    <xf numFmtId="0" fontId="82" fillId="18" borderId="5" xfId="0" applyFont="1" applyFill="1" applyBorder="1" applyAlignment="1" applyProtection="1">
      <alignment horizontal="center" vertical="center" wrapText="1"/>
      <protection hidden="1"/>
    </xf>
    <xf numFmtId="0" fontId="82" fillId="18" borderId="40" xfId="0" applyFont="1" applyFill="1" applyBorder="1" applyAlignment="1" applyProtection="1">
      <alignment horizontal="center" vertical="center" wrapText="1"/>
      <protection hidden="1"/>
    </xf>
    <xf numFmtId="0" fontId="14" fillId="18" borderId="6" xfId="0" applyFont="1" applyFill="1" applyBorder="1" applyAlignment="1" applyProtection="1">
      <alignment horizontal="center" vertical="center"/>
      <protection hidden="1"/>
    </xf>
    <xf numFmtId="0" fontId="14" fillId="18" borderId="7" xfId="0" applyFont="1" applyFill="1" applyBorder="1" applyAlignment="1" applyProtection="1">
      <alignment horizontal="center" vertical="center"/>
      <protection hidden="1"/>
    </xf>
    <xf numFmtId="0" fontId="14" fillId="18" borderId="8" xfId="0" applyFont="1" applyFill="1" applyBorder="1" applyAlignment="1" applyProtection="1">
      <alignment horizontal="center" vertical="center"/>
      <protection hidden="1"/>
    </xf>
    <xf numFmtId="0" fontId="81" fillId="0" borderId="76" xfId="0" applyFont="1" applyBorder="1" applyAlignment="1" applyProtection="1">
      <alignment horizontal="center" vertical="center" textRotation="90" wrapText="1"/>
      <protection hidden="1"/>
    </xf>
    <xf numFmtId="0" fontId="81" fillId="0" borderId="75" xfId="0" applyFont="1" applyBorder="1" applyAlignment="1" applyProtection="1">
      <alignment horizontal="center" vertical="center" textRotation="90" wrapText="1"/>
      <protection hidden="1"/>
    </xf>
    <xf numFmtId="0" fontId="24" fillId="19" borderId="6" xfId="0" applyFont="1" applyFill="1" applyBorder="1" applyAlignment="1" applyProtection="1">
      <alignment horizontal="center" vertical="center"/>
      <protection hidden="1"/>
    </xf>
    <xf numFmtId="0" fontId="24" fillId="19" borderId="7" xfId="0" applyFont="1" applyFill="1" applyBorder="1" applyAlignment="1" applyProtection="1">
      <alignment horizontal="center" vertical="center"/>
      <protection hidden="1"/>
    </xf>
    <xf numFmtId="0" fontId="24" fillId="19" borderId="8" xfId="0" applyFont="1" applyFill="1" applyBorder="1" applyAlignment="1" applyProtection="1">
      <alignment horizontal="center" vertical="center"/>
      <protection hidden="1"/>
    </xf>
    <xf numFmtId="0" fontId="81" fillId="2" borderId="42" xfId="0" applyFont="1" applyFill="1" applyBorder="1" applyAlignment="1" applyProtection="1">
      <alignment horizontal="center" vertical="center"/>
      <protection hidden="1"/>
    </xf>
    <xf numFmtId="0" fontId="81" fillId="2" borderId="9" xfId="0" applyFont="1" applyFill="1" applyBorder="1" applyAlignment="1" applyProtection="1">
      <alignment horizontal="center" vertical="center"/>
      <protection hidden="1"/>
    </xf>
    <xf numFmtId="0" fontId="81" fillId="2" borderId="46" xfId="0" applyFont="1" applyFill="1" applyBorder="1" applyAlignment="1" applyProtection="1">
      <alignment horizontal="center" vertical="center"/>
      <protection hidden="1"/>
    </xf>
    <xf numFmtId="0" fontId="47" fillId="0" borderId="76" xfId="0" applyFont="1" applyBorder="1" applyAlignment="1" applyProtection="1">
      <alignment horizontal="center" vertical="center" textRotation="90" wrapText="1"/>
      <protection hidden="1"/>
    </xf>
    <xf numFmtId="0" fontId="47" fillId="0" borderId="10" xfId="0" applyFont="1" applyBorder="1" applyAlignment="1" applyProtection="1">
      <alignment horizontal="center" vertical="center" textRotation="90" wrapText="1"/>
      <protection hidden="1"/>
    </xf>
    <xf numFmtId="0" fontId="47" fillId="0" borderId="49" xfId="0" applyFont="1" applyBorder="1" applyAlignment="1" applyProtection="1">
      <alignment horizontal="center" vertical="center" textRotation="90" wrapText="1"/>
      <protection hidden="1"/>
    </xf>
    <xf numFmtId="0" fontId="26" fillId="2" borderId="2" xfId="0" applyFont="1" applyFill="1" applyBorder="1" applyAlignment="1" applyProtection="1">
      <alignment horizontal="center" vertical="center" textRotation="90" wrapText="1"/>
      <protection hidden="1"/>
    </xf>
    <xf numFmtId="0" fontId="26" fillId="2" borderId="10" xfId="0" applyFont="1" applyFill="1" applyBorder="1" applyAlignment="1" applyProtection="1">
      <alignment horizontal="center" vertical="center" textRotation="90" wrapText="1"/>
      <protection hidden="1"/>
    </xf>
    <xf numFmtId="0" fontId="26" fillId="2" borderId="49" xfId="0" applyFont="1" applyFill="1" applyBorder="1" applyAlignment="1" applyProtection="1">
      <alignment horizontal="center" vertical="center" textRotation="90" wrapText="1"/>
      <protection hidden="1"/>
    </xf>
    <xf numFmtId="0" fontId="26" fillId="0" borderId="2" xfId="0" applyFont="1" applyBorder="1" applyAlignment="1" applyProtection="1">
      <alignment horizontal="center" vertical="center" textRotation="90" wrapText="1"/>
      <protection hidden="1"/>
    </xf>
    <xf numFmtId="0" fontId="26" fillId="0" borderId="10" xfId="0" applyFont="1" applyBorder="1" applyAlignment="1" applyProtection="1">
      <alignment horizontal="center" vertical="center" textRotation="90" wrapText="1"/>
      <protection hidden="1"/>
    </xf>
    <xf numFmtId="0" fontId="26" fillId="0" borderId="49" xfId="0" applyFont="1" applyBorder="1" applyAlignment="1" applyProtection="1">
      <alignment horizontal="center" vertical="center" textRotation="90" wrapText="1"/>
      <protection hidden="1"/>
    </xf>
    <xf numFmtId="0" fontId="47" fillId="0" borderId="2" xfId="0" applyFont="1" applyBorder="1" applyAlignment="1" applyProtection="1">
      <alignment horizontal="center" vertical="center" textRotation="90"/>
      <protection hidden="1"/>
    </xf>
    <xf numFmtId="0" fontId="47" fillId="0" borderId="10" xfId="0" applyFont="1" applyBorder="1" applyAlignment="1" applyProtection="1">
      <alignment horizontal="center" vertical="center" textRotation="90"/>
      <protection hidden="1"/>
    </xf>
    <xf numFmtId="0" fontId="47" fillId="0" borderId="49" xfId="0" applyFont="1" applyBorder="1" applyAlignment="1" applyProtection="1">
      <alignment horizontal="center" vertical="center" textRotation="90"/>
      <protection hidden="1"/>
    </xf>
    <xf numFmtId="0" fontId="81" fillId="0" borderId="42" xfId="0" applyFont="1" applyBorder="1" applyAlignment="1" applyProtection="1">
      <alignment horizontal="center" vertical="center"/>
      <protection hidden="1"/>
    </xf>
    <xf numFmtId="0" fontId="81" fillId="0" borderId="9" xfId="0" applyFont="1" applyBorder="1" applyAlignment="1" applyProtection="1">
      <alignment horizontal="center" vertical="center"/>
      <protection hidden="1"/>
    </xf>
    <xf numFmtId="0" fontId="81" fillId="0" borderId="46" xfId="0" applyFont="1" applyBorder="1" applyAlignment="1" applyProtection="1">
      <alignment horizontal="center" vertical="center"/>
      <protection hidden="1"/>
    </xf>
    <xf numFmtId="0" fontId="81" fillId="2" borderId="30" xfId="0" applyFont="1" applyFill="1" applyBorder="1" applyAlignment="1" applyProtection="1">
      <alignment horizontal="center" vertical="center"/>
      <protection hidden="1"/>
    </xf>
    <xf numFmtId="0" fontId="81" fillId="2" borderId="24" xfId="0" applyFont="1" applyFill="1" applyBorder="1" applyAlignment="1" applyProtection="1">
      <alignment horizontal="center" vertical="center"/>
      <protection hidden="1"/>
    </xf>
    <xf numFmtId="0" fontId="81" fillId="2" borderId="48" xfId="0" applyFont="1" applyFill="1" applyBorder="1" applyAlignment="1" applyProtection="1">
      <alignment horizontal="center" vertical="center"/>
      <protection hidden="1"/>
    </xf>
    <xf numFmtId="0" fontId="47" fillId="0" borderId="76" xfId="0" applyFont="1" applyBorder="1" applyAlignment="1" applyProtection="1">
      <alignment horizontal="center" vertical="center" textRotation="90"/>
      <protection hidden="1"/>
    </xf>
    <xf numFmtId="0" fontId="47" fillId="2" borderId="76" xfId="0" applyFont="1" applyFill="1" applyBorder="1" applyAlignment="1" applyProtection="1">
      <alignment horizontal="center" vertical="center" textRotation="90"/>
      <protection hidden="1"/>
    </xf>
    <xf numFmtId="0" fontId="47" fillId="2" borderId="10" xfId="0" applyFont="1" applyFill="1" applyBorder="1" applyAlignment="1" applyProtection="1">
      <alignment horizontal="center" vertical="center" textRotation="90"/>
      <protection hidden="1"/>
    </xf>
    <xf numFmtId="0" fontId="47" fillId="2" borderId="75" xfId="0" applyFont="1" applyFill="1" applyBorder="1" applyAlignment="1" applyProtection="1">
      <alignment horizontal="center" vertical="center" textRotation="90"/>
      <protection hidden="1"/>
    </xf>
    <xf numFmtId="0" fontId="47" fillId="2" borderId="52" xfId="0" applyFont="1" applyFill="1" applyBorder="1" applyAlignment="1" applyProtection="1">
      <alignment horizontal="center" vertical="center" textRotation="90"/>
      <protection hidden="1"/>
    </xf>
    <xf numFmtId="0" fontId="22" fillId="0" borderId="6"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47" fillId="0" borderId="75" xfId="0" applyFont="1" applyBorder="1" applyAlignment="1" applyProtection="1">
      <alignment horizontal="center" vertical="center" textRotation="90" wrapText="1"/>
      <protection hidden="1"/>
    </xf>
    <xf numFmtId="0" fontId="47" fillId="0" borderId="52" xfId="0" applyFont="1" applyBorder="1" applyAlignment="1" applyProtection="1">
      <alignment horizontal="center" vertical="center" textRotation="90" wrapText="1"/>
      <protection hidden="1"/>
    </xf>
    <xf numFmtId="0" fontId="82" fillId="18" borderId="6" xfId="0" applyFont="1" applyFill="1" applyBorder="1" applyAlignment="1" applyProtection="1">
      <alignment horizontal="center" vertical="center" wrapText="1"/>
      <protection hidden="1"/>
    </xf>
    <xf numFmtId="0" fontId="82" fillId="18" borderId="7" xfId="0" applyFont="1" applyFill="1" applyBorder="1" applyAlignment="1" applyProtection="1">
      <alignment horizontal="center" vertical="center" wrapText="1"/>
      <protection hidden="1"/>
    </xf>
    <xf numFmtId="0" fontId="82" fillId="18" borderId="8" xfId="0" applyFont="1" applyFill="1" applyBorder="1" applyAlignment="1" applyProtection="1">
      <alignment horizontal="center" vertical="center" wrapText="1"/>
      <protection hidden="1"/>
    </xf>
    <xf numFmtId="0" fontId="47" fillId="19" borderId="6" xfId="0" applyFont="1" applyFill="1" applyBorder="1" applyAlignment="1" applyProtection="1">
      <alignment horizontal="center" vertical="center"/>
      <protection hidden="1"/>
    </xf>
    <xf numFmtId="0" fontId="47" fillId="19" borderId="7" xfId="0" applyFont="1" applyFill="1" applyBorder="1" applyAlignment="1" applyProtection="1">
      <alignment horizontal="center" vertical="center"/>
      <protection hidden="1"/>
    </xf>
    <xf numFmtId="0" fontId="47" fillId="19" borderId="8" xfId="0" applyFont="1" applyFill="1" applyBorder="1" applyAlignment="1" applyProtection="1">
      <alignment horizontal="center" vertical="center"/>
      <protection hidden="1"/>
    </xf>
    <xf numFmtId="0" fontId="47" fillId="0" borderId="33" xfId="0" applyFont="1" applyFill="1" applyBorder="1" applyAlignment="1" applyProtection="1">
      <alignment horizontal="center" vertical="center"/>
      <protection hidden="1"/>
    </xf>
    <xf numFmtId="0" fontId="47" fillId="0" borderId="61" xfId="0" applyFont="1" applyFill="1" applyBorder="1" applyAlignment="1" applyProtection="1">
      <alignment horizontal="center" vertical="center"/>
      <protection hidden="1"/>
    </xf>
    <xf numFmtId="0" fontId="47" fillId="0" borderId="56" xfId="0" applyFont="1" applyFill="1" applyBorder="1" applyAlignment="1" applyProtection="1">
      <alignment horizontal="center" vertical="center"/>
      <protection hidden="1"/>
    </xf>
    <xf numFmtId="0" fontId="26" fillId="19" borderId="2" xfId="0" applyFont="1" applyFill="1" applyBorder="1" applyAlignment="1" applyProtection="1">
      <alignment horizontal="center" vertical="center" wrapText="1"/>
      <protection hidden="1"/>
    </xf>
    <xf numFmtId="0" fontId="26" fillId="19" borderId="3" xfId="0" applyFont="1" applyFill="1" applyBorder="1" applyAlignment="1" applyProtection="1">
      <alignment horizontal="center" vertical="center" wrapText="1"/>
      <protection hidden="1"/>
    </xf>
    <xf numFmtId="0" fontId="26" fillId="19" borderId="4" xfId="0" applyFont="1" applyFill="1" applyBorder="1" applyAlignment="1" applyProtection="1">
      <alignment horizontal="center" vertical="center" wrapText="1"/>
      <protection hidden="1"/>
    </xf>
    <xf numFmtId="0" fontId="82" fillId="18" borderId="6" xfId="0" applyFont="1" applyFill="1" applyBorder="1" applyAlignment="1" applyProtection="1">
      <alignment horizontal="center" vertical="center"/>
      <protection hidden="1"/>
    </xf>
    <xf numFmtId="0" fontId="82" fillId="18" borderId="7" xfId="0" applyFont="1" applyFill="1" applyBorder="1" applyAlignment="1" applyProtection="1">
      <alignment horizontal="center" vertical="center"/>
      <protection hidden="1"/>
    </xf>
    <xf numFmtId="0" fontId="82" fillId="18" borderId="8" xfId="0" applyFont="1" applyFill="1" applyBorder="1" applyAlignment="1" applyProtection="1">
      <alignment horizontal="center" vertical="center"/>
      <protection hidden="1"/>
    </xf>
    <xf numFmtId="0" fontId="47" fillId="0" borderId="33" xfId="0" applyFont="1" applyFill="1" applyBorder="1" applyAlignment="1" applyProtection="1">
      <alignment horizontal="center"/>
      <protection hidden="1"/>
    </xf>
    <xf numFmtId="0" fontId="47" fillId="0" borderId="50" xfId="0" applyFont="1" applyFill="1" applyBorder="1" applyAlignment="1" applyProtection="1">
      <alignment horizontal="center"/>
      <protection hidden="1"/>
    </xf>
    <xf numFmtId="0" fontId="81" fillId="0" borderId="72" xfId="0" applyFont="1" applyBorder="1" applyAlignment="1" applyProtection="1">
      <alignment horizontal="center" vertical="center"/>
      <protection hidden="1"/>
    </xf>
    <xf numFmtId="0" fontId="81" fillId="0" borderId="15" xfId="0" applyFont="1" applyBorder="1" applyAlignment="1" applyProtection="1">
      <alignment horizontal="center" vertical="center"/>
      <protection hidden="1"/>
    </xf>
    <xf numFmtId="0" fontId="81" fillId="0" borderId="55" xfId="0" applyFont="1" applyBorder="1" applyAlignment="1" applyProtection="1">
      <alignment horizontal="center" vertical="center"/>
      <protection hidden="1"/>
    </xf>
    <xf numFmtId="0" fontId="101" fillId="15" borderId="48" xfId="0" applyFont="1" applyFill="1" applyBorder="1" applyAlignment="1" applyProtection="1">
      <alignment horizontal="center" vertical="center" wrapText="1"/>
      <protection hidden="1"/>
    </xf>
    <xf numFmtId="0" fontId="101" fillId="15" borderId="5" xfId="0" applyFont="1" applyFill="1" applyBorder="1" applyAlignment="1" applyProtection="1">
      <alignment horizontal="center" vertical="center" wrapText="1"/>
      <protection hidden="1"/>
    </xf>
    <xf numFmtId="0" fontId="101" fillId="15" borderId="67" xfId="0" applyFont="1" applyFill="1" applyBorder="1" applyAlignment="1" applyProtection="1">
      <alignment horizontal="center" vertical="center" wrapText="1"/>
      <protection hidden="1"/>
    </xf>
    <xf numFmtId="0" fontId="101" fillId="15" borderId="29" xfId="0" applyFont="1" applyFill="1" applyBorder="1" applyAlignment="1" applyProtection="1">
      <alignment horizontal="center" vertical="center" wrapText="1"/>
      <protection hidden="1"/>
    </xf>
    <xf numFmtId="0" fontId="101" fillId="15" borderId="7" xfId="0" applyFont="1" applyFill="1" applyBorder="1" applyAlignment="1" applyProtection="1">
      <alignment horizontal="center" vertical="center" wrapText="1"/>
      <protection hidden="1"/>
    </xf>
    <xf numFmtId="0" fontId="101" fillId="15" borderId="21" xfId="0" applyFont="1" applyFill="1" applyBorder="1" applyAlignment="1" applyProtection="1">
      <alignment horizontal="center" vertical="center" wrapText="1"/>
      <protection hidden="1"/>
    </xf>
    <xf numFmtId="0" fontId="66" fillId="26" borderId="6" xfId="0" applyFont="1" applyFill="1" applyBorder="1" applyAlignment="1" applyProtection="1">
      <alignment horizontal="center" vertical="center" wrapText="1"/>
      <protection hidden="1"/>
    </xf>
    <xf numFmtId="0" fontId="66" fillId="26" borderId="7" xfId="0" applyFont="1" applyFill="1" applyBorder="1" applyAlignment="1" applyProtection="1">
      <alignment horizontal="center" vertical="center" wrapText="1"/>
      <protection hidden="1"/>
    </xf>
    <xf numFmtId="0" fontId="66" fillId="26" borderId="8"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protection locked="0" hidden="1"/>
    </xf>
    <xf numFmtId="0" fontId="9" fillId="25" borderId="52" xfId="6" applyBorder="1" applyAlignment="1" applyProtection="1">
      <alignment horizontal="center" vertical="center"/>
      <protection locked="0" hidden="1"/>
    </xf>
    <xf numFmtId="0" fontId="3" fillId="17" borderId="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7" fillId="17" borderId="37" xfId="0" applyFont="1" applyFill="1" applyBorder="1" applyAlignment="1" applyProtection="1">
      <alignment horizontal="center" vertical="center" wrapText="1"/>
      <protection hidden="1"/>
    </xf>
    <xf numFmtId="0" fontId="7" fillId="17" borderId="14" xfId="0" applyFont="1" applyFill="1" applyBorder="1" applyAlignment="1" applyProtection="1">
      <alignment horizontal="center" vertical="center" wrapText="1"/>
      <protection hidden="1"/>
    </xf>
    <xf numFmtId="0" fontId="7" fillId="17" borderId="58" xfId="0" applyFont="1" applyFill="1" applyBorder="1" applyAlignment="1" applyProtection="1">
      <alignment horizontal="center" vertical="center" wrapText="1"/>
      <protection hidden="1"/>
    </xf>
    <xf numFmtId="0" fontId="7" fillId="17" borderId="59" xfId="0" applyFont="1" applyFill="1" applyBorder="1" applyAlignment="1" applyProtection="1">
      <alignment horizontal="center" vertical="center" wrapText="1"/>
      <protection hidden="1"/>
    </xf>
    <xf numFmtId="0" fontId="85" fillId="17" borderId="37" xfId="0" applyFont="1" applyFill="1" applyBorder="1" applyAlignment="1" applyProtection="1">
      <alignment horizontal="center" vertical="center" wrapText="1"/>
      <protection hidden="1"/>
    </xf>
    <xf numFmtId="0" fontId="85" fillId="17" borderId="14" xfId="0" applyFont="1" applyFill="1" applyBorder="1" applyAlignment="1" applyProtection="1">
      <alignment horizontal="center" vertical="center" wrapText="1"/>
      <protection hidden="1"/>
    </xf>
    <xf numFmtId="0" fontId="28" fillId="6" borderId="29" xfId="0" applyNumberFormat="1" applyFont="1" applyFill="1" applyBorder="1" applyAlignment="1" applyProtection="1">
      <alignment horizontal="center" vertical="center" wrapText="1"/>
      <protection hidden="1"/>
    </xf>
    <xf numFmtId="0" fontId="28" fillId="6" borderId="7" xfId="0" applyNumberFormat="1" applyFont="1" applyFill="1" applyBorder="1" applyAlignment="1" applyProtection="1">
      <alignment horizontal="center" vertical="center" wrapText="1"/>
      <protection hidden="1"/>
    </xf>
    <xf numFmtId="0" fontId="28" fillId="6" borderId="8" xfId="0" applyNumberFormat="1" applyFont="1" applyFill="1" applyBorder="1" applyAlignment="1" applyProtection="1">
      <alignment horizontal="center" vertical="center" wrapText="1"/>
      <protection hidden="1"/>
    </xf>
    <xf numFmtId="0" fontId="34" fillId="5" borderId="41" xfId="0" applyFont="1" applyFill="1" applyBorder="1" applyAlignment="1" applyProtection="1">
      <alignment horizontal="center" vertical="center" wrapText="1"/>
      <protection hidden="1"/>
    </xf>
    <xf numFmtId="0" fontId="34" fillId="5" borderId="34" xfId="0" applyFont="1" applyFill="1" applyBorder="1" applyAlignment="1" applyProtection="1">
      <alignment horizontal="center" vertical="center" wrapText="1"/>
      <protection hidden="1"/>
    </xf>
    <xf numFmtId="0" fontId="34" fillId="5" borderId="42" xfId="0" applyFont="1" applyFill="1" applyBorder="1" applyAlignment="1" applyProtection="1">
      <alignment horizontal="center" vertical="center" wrapText="1"/>
      <protection hidden="1"/>
    </xf>
    <xf numFmtId="0" fontId="34" fillId="5" borderId="9" xfId="0" applyFont="1" applyFill="1" applyBorder="1" applyAlignment="1" applyProtection="1">
      <alignment horizontal="center" vertical="center" wrapText="1"/>
      <protection hidden="1"/>
    </xf>
    <xf numFmtId="0" fontId="6" fillId="22" borderId="41" xfId="0" applyFont="1" applyFill="1" applyBorder="1" applyAlignment="1" applyProtection="1">
      <alignment horizontal="center" vertical="center" wrapText="1"/>
      <protection hidden="1"/>
    </xf>
    <xf numFmtId="0" fontId="6" fillId="22" borderId="42" xfId="0" applyFont="1" applyFill="1" applyBorder="1" applyAlignment="1" applyProtection="1">
      <alignment horizontal="center" vertical="center" wrapText="1"/>
      <protection hidden="1"/>
    </xf>
    <xf numFmtId="0" fontId="6" fillId="17" borderId="42"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53" xfId="0" applyFont="1" applyFill="1" applyBorder="1" applyAlignment="1" applyProtection="1">
      <alignment horizontal="left" vertical="center" wrapText="1"/>
      <protection hidden="1"/>
    </xf>
    <xf numFmtId="0" fontId="7" fillId="17" borderId="32" xfId="0" applyFont="1" applyFill="1" applyBorder="1" applyAlignment="1" applyProtection="1">
      <alignment horizontal="left" vertical="center" wrapText="1"/>
      <protection hidden="1"/>
    </xf>
    <xf numFmtId="2" fontId="28" fillId="16" borderId="12" xfId="0" applyNumberFormat="1" applyFont="1" applyFill="1" applyBorder="1" applyAlignment="1" applyProtection="1">
      <alignment horizontal="center" vertical="center" wrapText="1"/>
      <protection hidden="1"/>
    </xf>
    <xf numFmtId="2" fontId="28" fillId="16" borderId="18" xfId="0" applyNumberFormat="1"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28" fillId="2" borderId="7" xfId="0" applyFont="1" applyFill="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0" fontId="22" fillId="2" borderId="7" xfId="0" applyFont="1" applyFill="1" applyBorder="1" applyAlignment="1" applyProtection="1">
      <alignment horizontal="center" vertical="center" wrapText="1"/>
      <protection hidden="1"/>
    </xf>
    <xf numFmtId="0" fontId="22" fillId="2" borderId="8" xfId="0" applyFont="1" applyFill="1" applyBorder="1" applyAlignment="1" applyProtection="1">
      <alignment horizontal="center" vertical="center" wrapText="1"/>
      <protection hidden="1"/>
    </xf>
    <xf numFmtId="0" fontId="31" fillId="4" borderId="2" xfId="0" applyFont="1" applyFill="1" applyBorder="1" applyAlignment="1" applyProtection="1">
      <alignment horizontal="center" vertical="center" wrapText="1"/>
      <protection hidden="1"/>
    </xf>
    <xf numFmtId="0" fontId="31" fillId="4" borderId="3" xfId="0" applyFont="1" applyFill="1" applyBorder="1" applyAlignment="1" applyProtection="1">
      <alignment horizontal="center" vertical="center" wrapText="1"/>
      <protection hidden="1"/>
    </xf>
    <xf numFmtId="0" fontId="31" fillId="4" borderId="4" xfId="0" applyFont="1" applyFill="1" applyBorder="1" applyAlignment="1" applyProtection="1">
      <alignment horizontal="center" vertical="center" wrapText="1"/>
      <protection hidden="1"/>
    </xf>
    <xf numFmtId="0" fontId="7" fillId="17" borderId="48" xfId="0" applyFont="1" applyFill="1" applyBorder="1" applyAlignment="1" applyProtection="1">
      <alignment horizontal="center" vertical="center" wrapText="1"/>
      <protection hidden="1"/>
    </xf>
    <xf numFmtId="0" fontId="7" fillId="17" borderId="40" xfId="0" applyFont="1" applyFill="1" applyBorder="1" applyAlignment="1" applyProtection="1">
      <alignment horizontal="center" vertical="center" wrapText="1"/>
      <protection hidden="1"/>
    </xf>
    <xf numFmtId="0" fontId="7" fillId="17" borderId="54" xfId="0" applyFont="1" applyFill="1" applyBorder="1" applyAlignment="1" applyProtection="1">
      <alignment horizontal="left" vertical="center" wrapText="1"/>
      <protection hidden="1"/>
    </xf>
    <xf numFmtId="167" fontId="28" fillId="16" borderId="12" xfId="0" applyNumberFormat="1" applyFont="1" applyFill="1" applyBorder="1" applyAlignment="1" applyProtection="1">
      <alignment horizontal="center" vertical="center" wrapText="1"/>
      <protection hidden="1"/>
    </xf>
    <xf numFmtId="167" fontId="28" fillId="16" borderId="18" xfId="0" applyNumberFormat="1" applyFont="1" applyFill="1" applyBorder="1" applyAlignment="1" applyProtection="1">
      <alignment horizontal="center" vertical="center" wrapText="1"/>
      <protection hidden="1"/>
    </xf>
    <xf numFmtId="1" fontId="28" fillId="13" borderId="9" xfId="0" applyNumberFormat="1" applyFont="1" applyFill="1" applyBorder="1" applyAlignment="1" applyProtection="1">
      <alignment horizontal="center" vertical="center" wrapText="1"/>
      <protection hidden="1"/>
    </xf>
    <xf numFmtId="164" fontId="28" fillId="13" borderId="9" xfId="0" applyNumberFormat="1" applyFont="1" applyFill="1" applyBorder="1" applyAlignment="1" applyProtection="1">
      <alignment horizontal="center" vertical="center" wrapText="1"/>
      <protection hidden="1"/>
    </xf>
    <xf numFmtId="1" fontId="28" fillId="16" borderId="12" xfId="0" applyNumberFormat="1" applyFont="1" applyFill="1" applyBorder="1" applyAlignment="1" applyProtection="1">
      <alignment horizontal="center" vertical="center" wrapText="1"/>
      <protection hidden="1"/>
    </xf>
    <xf numFmtId="1" fontId="28" fillId="16" borderId="18" xfId="0" applyNumberFormat="1" applyFont="1" applyFill="1" applyBorder="1" applyAlignment="1" applyProtection="1">
      <alignment horizontal="center" vertical="center" wrapText="1"/>
      <protection hidden="1"/>
    </xf>
    <xf numFmtId="170" fontId="28" fillId="6" borderId="11" xfId="0" applyNumberFormat="1" applyFont="1" applyFill="1" applyBorder="1" applyAlignment="1" applyProtection="1">
      <alignment horizontal="center" vertical="center" wrapText="1"/>
      <protection hidden="1"/>
    </xf>
    <xf numFmtId="170" fontId="28" fillId="6" borderId="14" xfId="0" applyNumberFormat="1" applyFont="1" applyFill="1" applyBorder="1" applyAlignment="1" applyProtection="1">
      <alignment horizontal="center" vertical="center" wrapText="1"/>
      <protection hidden="1"/>
    </xf>
    <xf numFmtId="170" fontId="28" fillId="16" borderId="12" xfId="0" applyNumberFormat="1" applyFont="1" applyFill="1" applyBorder="1" applyAlignment="1" applyProtection="1">
      <alignment horizontal="center" vertical="center" wrapText="1"/>
      <protection hidden="1"/>
    </xf>
    <xf numFmtId="170" fontId="28" fillId="16" borderId="18" xfId="0" applyNumberFormat="1" applyFont="1" applyFill="1" applyBorder="1" applyAlignment="1" applyProtection="1">
      <alignment horizontal="center" vertical="center" wrapText="1"/>
      <protection hidden="1"/>
    </xf>
    <xf numFmtId="14" fontId="28" fillId="5" borderId="11" xfId="0" applyNumberFormat="1" applyFont="1" applyFill="1" applyBorder="1" applyAlignment="1" applyProtection="1">
      <alignment horizontal="center" vertical="center" wrapText="1"/>
      <protection hidden="1"/>
    </xf>
    <xf numFmtId="14" fontId="28" fillId="5" borderId="14" xfId="0" applyNumberFormat="1" applyFont="1" applyFill="1" applyBorder="1" applyAlignment="1" applyProtection="1">
      <alignment horizontal="center" vertical="center" wrapText="1"/>
      <protection hidden="1"/>
    </xf>
    <xf numFmtId="14" fontId="28" fillId="13" borderId="9" xfId="0" applyNumberFormat="1" applyFont="1" applyFill="1" applyBorder="1" applyAlignment="1" applyProtection="1">
      <alignment horizontal="center" vertical="center" wrapText="1"/>
      <protection hidden="1"/>
    </xf>
    <xf numFmtId="0" fontId="8" fillId="17" borderId="41" xfId="0" applyFont="1" applyFill="1" applyBorder="1" applyAlignment="1" applyProtection="1">
      <alignment horizontal="center" vertical="center" wrapText="1"/>
      <protection hidden="1"/>
    </xf>
    <xf numFmtId="0" fontId="8" fillId="17" borderId="34" xfId="0" applyFont="1" applyFill="1" applyBorder="1" applyAlignment="1" applyProtection="1">
      <alignment horizontal="center" vertical="center" wrapText="1"/>
      <protection hidden="1"/>
    </xf>
    <xf numFmtId="0" fontId="31" fillId="4" borderId="6" xfId="0" applyFont="1" applyFill="1" applyBorder="1" applyAlignment="1" applyProtection="1">
      <alignment horizontal="center" vertical="center" wrapText="1"/>
      <protection hidden="1"/>
    </xf>
    <xf numFmtId="0" fontId="31" fillId="4" borderId="7" xfId="0" applyFont="1" applyFill="1" applyBorder="1" applyAlignment="1" applyProtection="1">
      <alignment horizontal="center" vertical="center" wrapText="1"/>
      <protection hidden="1"/>
    </xf>
    <xf numFmtId="0" fontId="31" fillId="4" borderId="8"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28" fillId="13" borderId="9" xfId="0" applyFont="1" applyFill="1" applyBorder="1" applyAlignment="1" applyProtection="1">
      <alignment horizontal="center" vertical="center" wrapText="1"/>
      <protection hidden="1"/>
    </xf>
    <xf numFmtId="0" fontId="8" fillId="17" borderId="42" xfId="0" applyFont="1" applyFill="1" applyBorder="1" applyAlignment="1" applyProtection="1">
      <alignment horizontal="center" vertical="center" wrapText="1"/>
      <protection hidden="1"/>
    </xf>
    <xf numFmtId="0" fontId="8" fillId="17" borderId="9" xfId="0" applyFont="1" applyFill="1" applyBorder="1" applyAlignment="1" applyProtection="1">
      <alignment horizontal="center" vertical="center" wrapText="1"/>
      <protection hidden="1"/>
    </xf>
    <xf numFmtId="0" fontId="8" fillId="17" borderId="43" xfId="0" applyFont="1" applyFill="1" applyBorder="1" applyAlignment="1" applyProtection="1">
      <alignment horizontal="center" vertical="center" wrapText="1"/>
      <protection hidden="1"/>
    </xf>
    <xf numFmtId="0" fontId="8" fillId="17" borderId="36" xfId="0" applyFont="1" applyFill="1" applyBorder="1" applyAlignment="1" applyProtection="1">
      <alignment horizontal="center" vertical="center" wrapText="1"/>
      <protection hidden="1"/>
    </xf>
    <xf numFmtId="0" fontId="43" fillId="4" borderId="37" xfId="0" applyFont="1" applyFill="1" applyBorder="1" applyAlignment="1" applyProtection="1">
      <alignment horizontal="center" vertical="center" wrapText="1"/>
      <protection hidden="1"/>
    </xf>
    <xf numFmtId="0" fontId="43" fillId="4" borderId="23"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27" fillId="4" borderId="58" xfId="0" applyFont="1" applyFill="1" applyBorder="1" applyAlignment="1" applyProtection="1">
      <alignment horizontal="center" vertical="center" wrapText="1"/>
      <protection hidden="1"/>
    </xf>
    <xf numFmtId="0" fontId="27" fillId="4" borderId="64" xfId="0" applyFont="1" applyFill="1" applyBorder="1" applyAlignment="1" applyProtection="1">
      <alignment horizontal="center" vertical="center" wrapText="1"/>
      <protection hidden="1"/>
    </xf>
    <xf numFmtId="0" fontId="27" fillId="4" borderId="59"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175" fontId="2" fillId="6" borderId="9" xfId="0" applyNumberFormat="1" applyFont="1" applyFill="1" applyBorder="1" applyAlignment="1" applyProtection="1">
      <alignment horizontal="center" vertical="center" wrapText="1"/>
      <protection locked="0" hidden="1"/>
    </xf>
    <xf numFmtId="0" fontId="1" fillId="17" borderId="9" xfId="0" applyFont="1" applyFill="1" applyBorder="1" applyAlignment="1" applyProtection="1">
      <alignment horizontal="center" vertical="center" wrapText="1"/>
      <protection hidden="1"/>
    </xf>
    <xf numFmtId="0" fontId="1" fillId="17" borderId="19" xfId="0" applyFont="1" applyFill="1" applyBorder="1" applyAlignment="1" applyProtection="1">
      <alignment horizontal="center" vertical="center" wrapText="1"/>
      <protection hidden="1"/>
    </xf>
    <xf numFmtId="0" fontId="1" fillId="17" borderId="22"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 fillId="17" borderId="34" xfId="0" applyFont="1" applyFill="1" applyBorder="1" applyAlignment="1" applyProtection="1">
      <alignment horizontal="center" vertical="center" wrapText="1"/>
      <protection hidden="1"/>
    </xf>
    <xf numFmtId="0" fontId="4" fillId="17" borderId="41" xfId="0" applyFont="1" applyFill="1" applyBorder="1" applyAlignment="1" applyProtection="1">
      <alignment horizontal="center" vertical="center" wrapText="1"/>
      <protection hidden="1"/>
    </xf>
    <xf numFmtId="0" fontId="4" fillId="17" borderId="42" xfId="0" applyFont="1" applyFill="1" applyBorder="1" applyAlignment="1" applyProtection="1">
      <alignment horizontal="center" vertical="center" wrapText="1"/>
      <protection hidden="1"/>
    </xf>
    <xf numFmtId="0" fontId="4" fillId="17" borderId="43" xfId="0" applyFont="1" applyFill="1" applyBorder="1" applyAlignment="1" applyProtection="1">
      <alignment horizontal="center" vertical="center" wrapText="1"/>
      <protection hidden="1"/>
    </xf>
    <xf numFmtId="0" fontId="3" fillId="17" borderId="45" xfId="0" applyFont="1" applyFill="1" applyBorder="1" applyAlignment="1" applyProtection="1">
      <alignment horizontal="center" vertical="center" wrapText="1"/>
      <protection hidden="1"/>
    </xf>
    <xf numFmtId="0" fontId="31" fillId="26" borderId="6" xfId="0" applyFont="1" applyFill="1" applyBorder="1" applyAlignment="1" applyProtection="1">
      <alignment horizontal="center" vertical="center" wrapText="1"/>
      <protection hidden="1"/>
    </xf>
    <xf numFmtId="0" fontId="31" fillId="26" borderId="7" xfId="0" applyFont="1" applyFill="1" applyBorder="1" applyAlignment="1" applyProtection="1">
      <alignment horizontal="center" vertical="center" wrapText="1"/>
      <protection hidden="1"/>
    </xf>
    <xf numFmtId="0" fontId="31" fillId="26" borderId="8"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51" xfId="0" applyFont="1" applyFill="1" applyBorder="1" applyAlignment="1" applyProtection="1">
      <alignment horizontal="center" vertical="center" wrapText="1"/>
      <protection hidden="1"/>
    </xf>
    <xf numFmtId="0" fontId="5" fillId="5" borderId="40" xfId="0" applyFont="1" applyFill="1" applyBorder="1" applyAlignment="1" applyProtection="1">
      <alignment horizontal="center" vertical="center" wrapText="1"/>
      <protection hidden="1"/>
    </xf>
    <xf numFmtId="0" fontId="7" fillId="17" borderId="41"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3" fillId="5" borderId="37" xfId="0" applyFont="1" applyFill="1" applyBorder="1" applyAlignment="1" applyProtection="1">
      <alignment horizontal="left" vertical="center" wrapText="1"/>
      <protection hidden="1"/>
    </xf>
    <xf numFmtId="0" fontId="3" fillId="5" borderId="23" xfId="0" applyFont="1" applyFill="1" applyBorder="1" applyAlignment="1" applyProtection="1">
      <alignment horizontal="left" vertical="center" wrapText="1"/>
      <protection hidden="1"/>
    </xf>
    <xf numFmtId="0" fontId="3" fillId="5" borderId="58" xfId="0" applyFont="1" applyFill="1" applyBorder="1" applyAlignment="1" applyProtection="1">
      <alignment horizontal="left" vertical="center" wrapText="1"/>
      <protection hidden="1"/>
    </xf>
    <xf numFmtId="0" fontId="3" fillId="5" borderId="64" xfId="0" applyFont="1" applyFill="1" applyBorder="1" applyAlignment="1" applyProtection="1">
      <alignment horizontal="left" vertical="center" wrapText="1"/>
      <protection hidden="1"/>
    </xf>
    <xf numFmtId="0" fontId="1" fillId="5" borderId="18" xfId="0" applyFont="1" applyFill="1" applyBorder="1" applyAlignment="1" applyProtection="1">
      <alignment horizontal="center" vertical="center" wrapText="1"/>
      <protection hidden="1"/>
    </xf>
    <xf numFmtId="0" fontId="38" fillId="5" borderId="37" xfId="0" applyFont="1" applyFill="1" applyBorder="1" applyAlignment="1" applyProtection="1">
      <alignment vertical="center" wrapText="1"/>
      <protection hidden="1"/>
    </xf>
    <xf numFmtId="0" fontId="38" fillId="5" borderId="14" xfId="0" applyFont="1" applyFill="1" applyBorder="1" applyAlignment="1" applyProtection="1">
      <alignment vertical="center" wrapText="1"/>
      <protection hidden="1"/>
    </xf>
    <xf numFmtId="0" fontId="38" fillId="5" borderId="37" xfId="0" applyFont="1" applyFill="1" applyBorder="1" applyAlignment="1" applyProtection="1">
      <alignment horizontal="left" vertical="center" wrapText="1"/>
      <protection hidden="1"/>
    </xf>
    <xf numFmtId="0" fontId="38" fillId="5" borderId="14" xfId="0" applyFont="1" applyFill="1" applyBorder="1" applyAlignment="1" applyProtection="1">
      <alignment horizontal="left" vertical="center" wrapText="1"/>
      <protection hidden="1"/>
    </xf>
    <xf numFmtId="0" fontId="38" fillId="5" borderId="37" xfId="0" applyFont="1" applyFill="1" applyBorder="1" applyAlignment="1" applyProtection="1">
      <alignment horizontal="center" vertical="top" wrapText="1"/>
      <protection hidden="1"/>
    </xf>
    <xf numFmtId="0" fontId="38" fillId="5" borderId="14" xfId="0" applyFont="1" applyFill="1" applyBorder="1" applyAlignment="1" applyProtection="1">
      <alignment horizontal="center" vertical="top" wrapText="1"/>
      <protection hidden="1"/>
    </xf>
    <xf numFmtId="0" fontId="45" fillId="2" borderId="11" xfId="0" applyFont="1" applyFill="1" applyBorder="1" applyAlignment="1" applyProtection="1">
      <alignment horizontal="center" vertical="center" wrapText="1"/>
      <protection hidden="1"/>
    </xf>
    <xf numFmtId="0" fontId="45" fillId="2" borderId="23" xfId="0" applyFont="1" applyFill="1" applyBorder="1" applyAlignment="1" applyProtection="1">
      <alignment horizontal="center" vertical="center" wrapText="1"/>
      <protection hidden="1"/>
    </xf>
    <xf numFmtId="0" fontId="45" fillId="2" borderId="35" xfId="0" applyFont="1" applyFill="1" applyBorder="1" applyAlignment="1" applyProtection="1">
      <alignment horizontal="center" vertical="center" wrapText="1"/>
      <protection hidden="1"/>
    </xf>
    <xf numFmtId="0" fontId="47" fillId="2" borderId="10"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center" vertical="center" wrapText="1"/>
      <protection hidden="1"/>
    </xf>
    <xf numFmtId="0" fontId="38" fillId="5" borderId="37" xfId="0" applyFont="1" applyFill="1" applyBorder="1" applyAlignment="1" applyProtection="1">
      <alignment horizontal="left" vertical="top" wrapText="1"/>
      <protection hidden="1"/>
    </xf>
    <xf numFmtId="0" fontId="38" fillId="5" borderId="14" xfId="0" applyFont="1" applyFill="1" applyBorder="1" applyAlignment="1" applyProtection="1">
      <alignment horizontal="left" vertical="top" wrapText="1"/>
      <protection hidden="1"/>
    </xf>
    <xf numFmtId="0" fontId="38" fillId="5" borderId="37" xfId="0" applyFont="1" applyFill="1" applyBorder="1" applyAlignment="1" applyProtection="1">
      <alignment vertical="top" wrapText="1"/>
      <protection hidden="1"/>
    </xf>
    <xf numFmtId="0" fontId="38" fillId="5" borderId="14" xfId="0" applyFont="1" applyFill="1" applyBorder="1" applyAlignment="1" applyProtection="1">
      <alignment vertical="top" wrapText="1"/>
      <protection hidden="1"/>
    </xf>
    <xf numFmtId="0" fontId="43" fillId="2" borderId="37" xfId="0" applyFont="1" applyFill="1" applyBorder="1" applyAlignment="1" applyProtection="1">
      <alignment horizontal="left" vertical="center" wrapText="1"/>
      <protection hidden="1"/>
    </xf>
    <xf numFmtId="0" fontId="43" fillId="2" borderId="23" xfId="0" applyFont="1" applyFill="1" applyBorder="1" applyAlignment="1" applyProtection="1">
      <alignment horizontal="left" vertical="center" wrapText="1"/>
      <protection hidden="1"/>
    </xf>
    <xf numFmtId="0" fontId="1" fillId="5" borderId="54" xfId="0" applyFont="1" applyFill="1" applyBorder="1" applyAlignment="1" applyProtection="1">
      <alignment horizontal="center" vertical="center" wrapText="1"/>
      <protection hidden="1"/>
    </xf>
    <xf numFmtId="0" fontId="1" fillId="5" borderId="17" xfId="0" applyFont="1" applyFill="1" applyBorder="1" applyAlignment="1" applyProtection="1">
      <alignment horizontal="center" vertical="center" wrapText="1"/>
      <protection hidden="1"/>
    </xf>
    <xf numFmtId="0" fontId="54" fillId="5" borderId="41" xfId="0" applyFont="1" applyFill="1" applyBorder="1" applyAlignment="1" applyProtection="1">
      <alignment horizontal="center" vertical="center" wrapText="1"/>
      <protection hidden="1"/>
    </xf>
    <xf numFmtId="0" fontId="54" fillId="5" borderId="43" xfId="0" applyFont="1" applyFill="1" applyBorder="1" applyAlignment="1" applyProtection="1">
      <alignment horizontal="center" vertical="center" wrapText="1"/>
      <protection hidden="1"/>
    </xf>
    <xf numFmtId="0" fontId="53" fillId="4" borderId="2" xfId="0" applyFont="1" applyFill="1" applyBorder="1" applyAlignment="1" applyProtection="1">
      <alignment horizontal="center" vertical="center" wrapText="1"/>
      <protection hidden="1"/>
    </xf>
    <xf numFmtId="0" fontId="53" fillId="4" borderId="3" xfId="0" applyFont="1" applyFill="1" applyBorder="1" applyAlignment="1" applyProtection="1">
      <alignment horizontal="center" vertical="center" wrapText="1"/>
      <protection hidden="1"/>
    </xf>
    <xf numFmtId="0" fontId="53" fillId="4" borderId="4"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34"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left" vertical="center" wrapText="1"/>
      <protection hidden="1"/>
    </xf>
    <xf numFmtId="0" fontId="7" fillId="5" borderId="45"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53" fillId="4" borderId="6" xfId="0" applyFont="1" applyFill="1" applyBorder="1" applyAlignment="1" applyProtection="1">
      <alignment horizontal="center" vertical="center" wrapText="1"/>
      <protection hidden="1"/>
    </xf>
    <xf numFmtId="0" fontId="53" fillId="4" borderId="7" xfId="0" applyFont="1" applyFill="1" applyBorder="1" applyAlignment="1" applyProtection="1">
      <alignment horizontal="center" vertical="center" wrapText="1"/>
      <protection hidden="1"/>
    </xf>
    <xf numFmtId="0" fontId="53" fillId="4" borderId="8" xfId="0" applyFont="1" applyFill="1" applyBorder="1" applyAlignment="1" applyProtection="1">
      <alignment horizontal="center" vertical="center" wrapText="1"/>
      <protection hidden="1"/>
    </xf>
    <xf numFmtId="0" fontId="1" fillId="2" borderId="37"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38" fillId="5" borderId="37" xfId="0" applyFont="1" applyFill="1" applyBorder="1" applyAlignment="1" applyProtection="1">
      <alignment horizontal="center" vertical="center" wrapText="1"/>
      <protection hidden="1"/>
    </xf>
    <xf numFmtId="0" fontId="38" fillId="5" borderId="14"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center" vertical="center" wrapText="1"/>
      <protection hidden="1"/>
    </xf>
    <xf numFmtId="0" fontId="7" fillId="17" borderId="18" xfId="0" applyFont="1" applyFill="1" applyBorder="1" applyAlignment="1" applyProtection="1">
      <alignment horizontal="center" vertical="center" wrapText="1"/>
      <protection hidden="1"/>
    </xf>
    <xf numFmtId="0" fontId="1" fillId="5" borderId="60" xfId="0" applyFont="1" applyFill="1" applyBorder="1" applyAlignment="1" applyProtection="1">
      <alignment horizontal="center" vertical="center" wrapText="1"/>
      <protection hidden="1"/>
    </xf>
    <xf numFmtId="0" fontId="1" fillId="5" borderId="50" xfId="0" applyFont="1" applyFill="1" applyBorder="1" applyAlignment="1" applyProtection="1">
      <alignment horizontal="center" vertical="center" wrapText="1"/>
      <protection hidden="1"/>
    </xf>
    <xf numFmtId="0" fontId="53" fillId="9" borderId="6" xfId="0" applyFont="1" applyFill="1" applyBorder="1" applyAlignment="1" applyProtection="1">
      <alignment horizontal="center" vertical="center" wrapText="1"/>
      <protection hidden="1"/>
    </xf>
    <xf numFmtId="0" fontId="53" fillId="9" borderId="7" xfId="0" applyFont="1" applyFill="1" applyBorder="1" applyAlignment="1" applyProtection="1">
      <alignment horizontal="center" vertical="center" wrapText="1"/>
      <protection hidden="1"/>
    </xf>
    <xf numFmtId="0" fontId="53" fillId="9" borderId="8"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locked="0" hidden="1"/>
    </xf>
    <xf numFmtId="0" fontId="2" fillId="6" borderId="8" xfId="0" applyFont="1" applyFill="1" applyBorder="1" applyAlignment="1" applyProtection="1">
      <alignment horizontal="center" vertical="center" wrapText="1"/>
      <protection locked="0" hidden="1"/>
    </xf>
    <xf numFmtId="0" fontId="31" fillId="4" borderId="49" xfId="0" applyFont="1" applyFill="1" applyBorder="1" applyAlignment="1" applyProtection="1">
      <alignment horizontal="center" vertical="center" wrapText="1"/>
      <protection hidden="1"/>
    </xf>
    <xf numFmtId="0" fontId="31" fillId="4" borderId="5" xfId="0"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14" fontId="28" fillId="13" borderId="12" xfId="0" applyNumberFormat="1" applyFont="1" applyFill="1" applyBorder="1" applyAlignment="1" applyProtection="1">
      <alignment horizontal="center" vertical="center" wrapText="1"/>
      <protection hidden="1"/>
    </xf>
    <xf numFmtId="14" fontId="28" fillId="13" borderId="18" xfId="0" applyNumberFormat="1" applyFont="1" applyFill="1" applyBorder="1" applyAlignment="1" applyProtection="1">
      <alignment horizontal="center" vertical="center" wrapText="1"/>
      <protection hidden="1"/>
    </xf>
    <xf numFmtId="1" fontId="28" fillId="13" borderId="12" xfId="0" applyNumberFormat="1" applyFont="1" applyFill="1" applyBorder="1" applyAlignment="1" applyProtection="1">
      <alignment horizontal="center" vertical="center" wrapText="1"/>
      <protection hidden="1"/>
    </xf>
    <xf numFmtId="1" fontId="28" fillId="13" borderId="18" xfId="0" applyNumberFormat="1" applyFont="1" applyFill="1" applyBorder="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0" fontId="8" fillId="5" borderId="32"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wrapText="1"/>
      <protection hidden="1"/>
    </xf>
    <xf numFmtId="0" fontId="7" fillId="17" borderId="8" xfId="0" applyFont="1" applyFill="1" applyBorder="1" applyAlignment="1" applyProtection="1">
      <alignment horizontal="center" vertical="center" wrapText="1"/>
      <protection hidden="1"/>
    </xf>
    <xf numFmtId="0" fontId="28" fillId="2" borderId="45" xfId="0" applyFont="1" applyFill="1" applyBorder="1" applyAlignment="1" applyProtection="1">
      <alignment horizontal="center" vertical="center" wrapText="1"/>
      <protection hidden="1"/>
    </xf>
    <xf numFmtId="0" fontId="28" fillId="2" borderId="57" xfId="0" applyFont="1" applyFill="1" applyBorder="1" applyAlignment="1" applyProtection="1">
      <alignment horizontal="center" vertical="center" wrapText="1"/>
      <protection hidden="1"/>
    </xf>
    <xf numFmtId="0" fontId="1" fillId="2" borderId="35"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6"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15" borderId="57" xfId="0" applyFont="1" applyFill="1" applyBorder="1" applyAlignment="1" applyProtection="1">
      <alignment horizontal="center" vertical="center" wrapText="1"/>
      <protection hidden="1"/>
    </xf>
    <xf numFmtId="0" fontId="7" fillId="15" borderId="64" xfId="0" applyFont="1" applyFill="1" applyBorder="1" applyAlignment="1" applyProtection="1">
      <alignment horizontal="center" vertical="center" wrapText="1"/>
      <protection hidden="1"/>
    </xf>
    <xf numFmtId="0" fontId="7" fillId="15" borderId="59" xfId="0" applyFont="1" applyFill="1" applyBorder="1" applyAlignment="1" applyProtection="1">
      <alignment horizontal="center" vertical="center" wrapText="1"/>
      <protection hidden="1"/>
    </xf>
    <xf numFmtId="0" fontId="47" fillId="2" borderId="0" xfId="0" applyFont="1" applyFill="1" applyBorder="1" applyAlignment="1" applyProtection="1">
      <alignment horizontal="center" vertical="center" wrapText="1"/>
      <protection hidden="1"/>
    </xf>
    <xf numFmtId="0" fontId="43" fillId="2" borderId="37" xfId="0" applyFont="1" applyFill="1" applyBorder="1" applyAlignment="1" applyProtection="1">
      <alignment horizontal="center" vertical="center" wrapText="1"/>
      <protection hidden="1"/>
    </xf>
    <xf numFmtId="0" fontId="43" fillId="2" borderId="23" xfId="0" applyFont="1" applyFill="1" applyBorder="1" applyAlignment="1" applyProtection="1">
      <alignment horizontal="center" vertical="center" wrapText="1"/>
      <protection hidden="1"/>
    </xf>
    <xf numFmtId="0" fontId="1" fillId="17" borderId="6" xfId="0" applyFont="1" applyFill="1" applyBorder="1" applyAlignment="1" applyProtection="1">
      <alignment horizontal="center" vertical="center" wrapText="1"/>
      <protection hidden="1"/>
    </xf>
    <xf numFmtId="0" fontId="1" fillId="17" borderId="21" xfId="0" applyFont="1" applyFill="1" applyBorder="1" applyAlignment="1" applyProtection="1">
      <alignment horizontal="center" vertical="center" wrapText="1"/>
      <protection hidden="1"/>
    </xf>
    <xf numFmtId="0" fontId="4" fillId="5" borderId="60" xfId="0" applyFont="1" applyFill="1" applyBorder="1" applyAlignment="1" applyProtection="1">
      <alignment horizontal="center" vertical="center" wrapText="1"/>
      <protection hidden="1"/>
    </xf>
    <xf numFmtId="0" fontId="4" fillId="5" borderId="61"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2" fontId="5" fillId="7" borderId="42"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2" fontId="5" fillId="7" borderId="46" xfId="0" applyNumberFormat="1" applyFont="1" applyFill="1" applyBorder="1" applyAlignment="1" applyProtection="1">
      <alignment horizontal="center" vertical="center" wrapText="1"/>
      <protection hidden="1"/>
    </xf>
    <xf numFmtId="166" fontId="5" fillId="7" borderId="42" xfId="0" applyNumberFormat="1" applyFont="1" applyFill="1" applyBorder="1" applyAlignment="1" applyProtection="1">
      <alignment horizontal="center" vertical="center" wrapText="1"/>
      <protection hidden="1"/>
    </xf>
    <xf numFmtId="166" fontId="5" fillId="7" borderId="9" xfId="0" applyNumberFormat="1" applyFont="1" applyFill="1" applyBorder="1" applyAlignment="1" applyProtection="1">
      <alignment horizontal="center" vertical="center" wrapText="1"/>
      <protection hidden="1"/>
    </xf>
    <xf numFmtId="166" fontId="5" fillId="7" borderId="46" xfId="0" applyNumberFormat="1"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locked="0" hidden="1"/>
    </xf>
    <xf numFmtId="0" fontId="28" fillId="0" borderId="3" xfId="0" applyFont="1" applyFill="1" applyBorder="1" applyAlignment="1" applyProtection="1">
      <alignment horizontal="center" vertical="center" wrapText="1"/>
      <protection locked="0" hidden="1"/>
    </xf>
    <xf numFmtId="0" fontId="28" fillId="0" borderId="4" xfId="0" applyFont="1" applyFill="1" applyBorder="1" applyAlignment="1" applyProtection="1">
      <alignment horizontal="center" vertical="center" wrapText="1"/>
      <protection locked="0" hidden="1"/>
    </xf>
    <xf numFmtId="0" fontId="28" fillId="0" borderId="10" xfId="0" applyFont="1" applyFill="1" applyBorder="1" applyAlignment="1" applyProtection="1">
      <alignment horizontal="center" vertical="center" wrapText="1"/>
      <protection locked="0" hidden="1"/>
    </xf>
    <xf numFmtId="0" fontId="28" fillId="0" borderId="0" xfId="0" applyFont="1" applyFill="1" applyBorder="1" applyAlignment="1" applyProtection="1">
      <alignment horizontal="center" vertical="center" wrapText="1"/>
      <protection locked="0" hidden="1"/>
    </xf>
    <xf numFmtId="0" fontId="28" fillId="0" borderId="51" xfId="0" applyFont="1" applyFill="1" applyBorder="1" applyAlignment="1" applyProtection="1">
      <alignment horizontal="center" vertical="center" wrapText="1"/>
      <protection locked="0" hidden="1"/>
    </xf>
    <xf numFmtId="0" fontId="28" fillId="0" borderId="49" xfId="0" applyFont="1" applyFill="1" applyBorder="1" applyAlignment="1" applyProtection="1">
      <alignment horizontal="center" vertical="center" wrapText="1"/>
      <protection locked="0" hidden="1"/>
    </xf>
    <xf numFmtId="0" fontId="28" fillId="0" borderId="5" xfId="0" applyFont="1" applyFill="1" applyBorder="1" applyAlignment="1" applyProtection="1">
      <alignment horizontal="center" vertical="center" wrapText="1"/>
      <protection locked="0" hidden="1"/>
    </xf>
    <xf numFmtId="0" fontId="28" fillId="0" borderId="40" xfId="0" applyFont="1" applyFill="1" applyBorder="1" applyAlignment="1" applyProtection="1">
      <alignment horizontal="center" vertical="center" wrapText="1"/>
      <protection locked="0" hidden="1"/>
    </xf>
    <xf numFmtId="0" fontId="22" fillId="0" borderId="6" xfId="0" applyFont="1" applyFill="1" applyBorder="1" applyAlignment="1" applyProtection="1">
      <alignment horizontal="center" vertical="center" wrapText="1"/>
      <protection hidden="1"/>
    </xf>
    <xf numFmtId="0" fontId="22" fillId="0" borderId="7" xfId="0" applyFont="1" applyFill="1" applyBorder="1" applyAlignment="1" applyProtection="1">
      <alignment horizontal="center" vertical="center" wrapText="1"/>
      <protection hidden="1"/>
    </xf>
    <xf numFmtId="0" fontId="22" fillId="0" borderId="8" xfId="0" applyFont="1" applyFill="1" applyBorder="1" applyAlignment="1" applyProtection="1">
      <alignment horizontal="center" vertical="center" wrapText="1"/>
      <protection hidden="1"/>
    </xf>
    <xf numFmtId="170" fontId="28" fillId="6" borderId="29" xfId="0" applyNumberFormat="1" applyFont="1" applyFill="1" applyBorder="1" applyAlignment="1" applyProtection="1">
      <alignment horizontal="center" vertical="center" wrapText="1"/>
      <protection hidden="1"/>
    </xf>
    <xf numFmtId="170" fontId="28" fillId="6" borderId="21" xfId="0" applyNumberFormat="1" applyFont="1" applyFill="1" applyBorder="1" applyAlignment="1" applyProtection="1">
      <alignment horizontal="center" vertical="center" wrapText="1"/>
      <protection hidden="1"/>
    </xf>
    <xf numFmtId="14" fontId="28" fillId="6" borderId="22" xfId="0" applyNumberFormat="1" applyFont="1" applyFill="1" applyBorder="1" applyAlignment="1" applyProtection="1">
      <alignment horizontal="center" vertical="center" wrapText="1"/>
      <protection hidden="1"/>
    </xf>
    <xf numFmtId="14" fontId="28" fillId="5" borderId="22" xfId="0" applyNumberFormat="1" applyFont="1" applyFill="1" applyBorder="1" applyAlignment="1" applyProtection="1">
      <alignment horizontal="center" vertical="center" wrapText="1"/>
      <protection hidden="1"/>
    </xf>
    <xf numFmtId="14" fontId="28" fillId="6" borderId="20" xfId="0" applyNumberFormat="1" applyFont="1" applyFill="1" applyBorder="1" applyAlignment="1" applyProtection="1">
      <alignment horizontal="center" vertical="center" wrapText="1"/>
      <protection hidden="1"/>
    </xf>
    <xf numFmtId="0" fontId="5" fillId="5" borderId="75" xfId="0" applyFont="1" applyFill="1" applyBorder="1" applyAlignment="1" applyProtection="1">
      <alignment horizontal="center" vertical="center" wrapText="1"/>
      <protection hidden="1"/>
    </xf>
    <xf numFmtId="0" fontId="5" fillId="5" borderId="52" xfId="0" applyFont="1" applyFill="1" applyBorder="1" applyAlignment="1" applyProtection="1">
      <alignment horizontal="center" vertical="center" wrapText="1"/>
      <protection hidden="1"/>
    </xf>
    <xf numFmtId="0" fontId="5" fillId="5" borderId="76"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locked="0" hidden="1"/>
    </xf>
    <xf numFmtId="0" fontId="2" fillId="6" borderId="20" xfId="0" applyFont="1" applyFill="1" applyBorder="1" applyAlignment="1" applyProtection="1">
      <alignment horizontal="center" vertical="center" wrapText="1"/>
      <protection locked="0" hidden="1"/>
    </xf>
    <xf numFmtId="0" fontId="34" fillId="5" borderId="77" xfId="0" applyFont="1" applyFill="1" applyBorder="1" applyAlignment="1" applyProtection="1">
      <alignment horizontal="center" vertical="center" wrapText="1"/>
      <protection hidden="1"/>
    </xf>
    <xf numFmtId="0" fontId="34" fillId="5" borderId="32" xfId="0" applyFont="1" applyFill="1" applyBorder="1" applyAlignment="1" applyProtection="1">
      <alignment horizontal="center" vertical="center" wrapText="1"/>
      <protection hidden="1"/>
    </xf>
    <xf numFmtId="0" fontId="34" fillId="5" borderId="72" xfId="0" applyFont="1" applyFill="1" applyBorder="1" applyAlignment="1" applyProtection="1">
      <alignment horizontal="center" vertical="center" wrapText="1"/>
      <protection hidden="1"/>
    </xf>
    <xf numFmtId="0" fontId="34" fillId="5" borderId="18" xfId="0" applyFont="1" applyFill="1" applyBorder="1" applyAlignment="1" applyProtection="1">
      <alignment horizontal="center" vertical="center" wrapText="1"/>
      <protection hidden="1"/>
    </xf>
    <xf numFmtId="0" fontId="63" fillId="9" borderId="2" xfId="0" applyFont="1" applyFill="1" applyBorder="1" applyAlignment="1" applyProtection="1">
      <alignment horizontal="center" vertical="center"/>
      <protection hidden="1"/>
    </xf>
    <xf numFmtId="0" fontId="63" fillId="9" borderId="3" xfId="0" applyFont="1" applyFill="1" applyBorder="1" applyAlignment="1" applyProtection="1">
      <alignment horizontal="center" vertical="center"/>
      <protection hidden="1"/>
    </xf>
    <xf numFmtId="0" fontId="63" fillId="9" borderId="4" xfId="0" applyFont="1" applyFill="1" applyBorder="1" applyAlignment="1" applyProtection="1">
      <alignment horizontal="center" vertical="center"/>
      <protection hidden="1"/>
    </xf>
    <xf numFmtId="9" fontId="2" fillId="7" borderId="62" xfId="0" applyNumberFormat="1" applyFont="1" applyFill="1" applyBorder="1" applyAlignment="1" applyProtection="1">
      <alignment horizontal="center" vertical="center" wrapText="1"/>
      <protection hidden="1"/>
    </xf>
    <xf numFmtId="9" fontId="2" fillId="7" borderId="68" xfId="0" applyNumberFormat="1" applyFont="1" applyFill="1" applyBorder="1" applyAlignment="1" applyProtection="1">
      <alignment horizontal="center" vertical="center" wrapText="1"/>
      <protection hidden="1"/>
    </xf>
    <xf numFmtId="9" fontId="2" fillId="7" borderId="83" xfId="0" applyNumberFormat="1" applyFont="1" applyFill="1" applyBorder="1" applyAlignment="1" applyProtection="1">
      <alignment horizontal="center" vertical="center" wrapText="1"/>
      <protection hidden="1"/>
    </xf>
    <xf numFmtId="2" fontId="2" fillId="7" borderId="12" xfId="0" applyNumberFormat="1" applyFont="1" applyFill="1" applyBorder="1" applyAlignment="1" applyProtection="1">
      <alignment horizontal="center" vertical="center" wrapText="1"/>
      <protection hidden="1"/>
    </xf>
    <xf numFmtId="2" fontId="2" fillId="7" borderId="15" xfId="0" applyNumberFormat="1" applyFont="1" applyFill="1" applyBorder="1" applyAlignment="1" applyProtection="1">
      <alignment horizontal="center" vertical="center" wrapText="1"/>
      <protection hidden="1"/>
    </xf>
    <xf numFmtId="2" fontId="2" fillId="7" borderId="55" xfId="0" applyNumberFormat="1" applyFont="1" applyFill="1" applyBorder="1" applyAlignment="1" applyProtection="1">
      <alignment horizontal="center" vertical="center" wrapText="1"/>
      <protection hidden="1"/>
    </xf>
    <xf numFmtId="2" fontId="28" fillId="16" borderId="9" xfId="0" applyNumberFormat="1" applyFont="1" applyFill="1" applyBorder="1" applyAlignment="1" applyProtection="1">
      <alignment horizontal="center" vertical="center" wrapText="1"/>
      <protection hidden="1"/>
    </xf>
    <xf numFmtId="2" fontId="28" fillId="16" borderId="46" xfId="0" applyNumberFormat="1" applyFont="1" applyFill="1" applyBorder="1" applyAlignment="1" applyProtection="1">
      <alignment horizontal="center" vertical="center" wrapText="1"/>
      <protection hidden="1"/>
    </xf>
    <xf numFmtId="0" fontId="7" fillId="5" borderId="77"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63" fillId="26" borderId="2" xfId="0" applyFont="1" applyFill="1" applyBorder="1" applyAlignment="1" applyProtection="1">
      <alignment horizontal="center" vertical="center" wrapText="1"/>
      <protection hidden="1"/>
    </xf>
    <xf numFmtId="0" fontId="63" fillId="26" borderId="3" xfId="0" applyFont="1" applyFill="1" applyBorder="1" applyAlignment="1" applyProtection="1">
      <alignment horizontal="center" vertical="center" wrapText="1"/>
      <protection hidden="1"/>
    </xf>
    <xf numFmtId="0" fontId="63" fillId="26" borderId="4" xfId="0" applyFont="1" applyFill="1" applyBorder="1" applyAlignment="1" applyProtection="1">
      <alignment horizontal="center" vertical="center" wrapText="1"/>
      <protection hidden="1"/>
    </xf>
    <xf numFmtId="0" fontId="7" fillId="5" borderId="60" xfId="1" applyFont="1" applyFill="1" applyBorder="1" applyAlignment="1" applyProtection="1">
      <alignment horizontal="center" vertical="center" wrapText="1"/>
      <protection hidden="1"/>
    </xf>
    <xf numFmtId="0" fontId="7" fillId="5" borderId="50" xfId="1" applyFont="1" applyFill="1" applyBorder="1" applyAlignment="1" applyProtection="1">
      <alignment horizontal="center" vertical="center" wrapText="1"/>
      <protection hidden="1"/>
    </xf>
    <xf numFmtId="0" fontId="7" fillId="5" borderId="33" xfId="1" applyFont="1" applyFill="1" applyBorder="1" applyAlignment="1" applyProtection="1">
      <alignment horizontal="center" vertical="center" wrapText="1"/>
      <protection hidden="1"/>
    </xf>
    <xf numFmtId="0" fontId="7" fillId="5" borderId="56" xfId="1" applyFont="1" applyFill="1" applyBorder="1" applyAlignment="1" applyProtection="1">
      <alignment horizontal="center" vertical="center" wrapText="1"/>
      <protection hidden="1"/>
    </xf>
    <xf numFmtId="0" fontId="63" fillId="4" borderId="6" xfId="0" applyFont="1" applyFill="1" applyBorder="1" applyAlignment="1" applyProtection="1">
      <alignment horizontal="center" vertical="center" wrapText="1"/>
      <protection hidden="1"/>
    </xf>
    <xf numFmtId="0" fontId="63" fillId="4" borderId="7" xfId="0" applyFont="1" applyFill="1" applyBorder="1" applyAlignment="1" applyProtection="1">
      <alignment horizontal="center" vertical="center" wrapText="1"/>
      <protection hidden="1"/>
    </xf>
    <xf numFmtId="0" fontId="63" fillId="4" borderId="8" xfId="0" applyFont="1" applyFill="1" applyBorder="1" applyAlignment="1" applyProtection="1">
      <alignment horizontal="center" vertical="center" wrapText="1"/>
      <protection hidden="1"/>
    </xf>
    <xf numFmtId="1" fontId="28" fillId="16" borderId="34" xfId="0" applyNumberFormat="1" applyFont="1" applyFill="1" applyBorder="1" applyAlignment="1" applyProtection="1">
      <alignment horizontal="center" vertical="center" wrapText="1"/>
      <protection hidden="1"/>
    </xf>
    <xf numFmtId="1" fontId="28" fillId="16" borderId="45" xfId="0" applyNumberFormat="1" applyFont="1" applyFill="1" applyBorder="1" applyAlignment="1" applyProtection="1">
      <alignment horizontal="center" vertical="center" wrapText="1"/>
      <protection hidden="1"/>
    </xf>
    <xf numFmtId="0" fontId="7" fillId="5" borderId="72"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wrapText="1"/>
      <protection hidden="1"/>
    </xf>
    <xf numFmtId="0" fontId="1" fillId="5" borderId="14" xfId="0" applyFont="1" applyFill="1" applyBorder="1" applyAlignment="1" applyProtection="1">
      <alignment horizontal="center" vertical="top" wrapText="1"/>
      <protection hidden="1"/>
    </xf>
    <xf numFmtId="0" fontId="1" fillId="5" borderId="58" xfId="0" applyFont="1" applyFill="1" applyBorder="1" applyAlignment="1" applyProtection="1">
      <alignment horizontal="center" vertical="top" wrapText="1"/>
      <protection hidden="1"/>
    </xf>
    <xf numFmtId="0" fontId="1" fillId="5" borderId="59" xfId="0" applyFont="1" applyFill="1" applyBorder="1" applyAlignment="1" applyProtection="1">
      <alignment horizontal="center" vertical="top" wrapText="1"/>
      <protection hidden="1"/>
    </xf>
    <xf numFmtId="0" fontId="1" fillId="5" borderId="21" xfId="0" applyFont="1" applyFill="1" applyBorder="1" applyAlignment="1" applyProtection="1">
      <alignment horizontal="center" vertical="center" wrapText="1"/>
      <protection hidden="1"/>
    </xf>
    <xf numFmtId="0" fontId="1" fillId="5" borderId="30" xfId="0" applyFont="1" applyFill="1" applyBorder="1" applyAlignment="1" applyProtection="1">
      <alignment horizontal="center" vertical="top" wrapText="1"/>
      <protection hidden="1"/>
    </xf>
    <xf numFmtId="0" fontId="1" fillId="5" borderId="3" xfId="0" applyFont="1" applyFill="1" applyBorder="1" applyAlignment="1" applyProtection="1">
      <alignment horizontal="center" vertical="top" wrapText="1"/>
      <protection hidden="1"/>
    </xf>
    <xf numFmtId="0" fontId="1" fillId="5" borderId="4" xfId="0" applyFont="1" applyFill="1" applyBorder="1" applyAlignment="1" applyProtection="1">
      <alignment horizontal="center" vertical="top" wrapText="1"/>
      <protection hidden="1"/>
    </xf>
    <xf numFmtId="0" fontId="1" fillId="5" borderId="28" xfId="0" applyFont="1" applyFill="1" applyBorder="1" applyAlignment="1" applyProtection="1">
      <alignment horizontal="center" vertical="top" wrapText="1"/>
      <protection hidden="1"/>
    </xf>
    <xf numFmtId="0" fontId="1" fillId="5" borderId="13" xfId="0" applyFont="1" applyFill="1" applyBorder="1" applyAlignment="1" applyProtection="1">
      <alignment horizontal="center" vertical="top" wrapText="1"/>
      <protection hidden="1"/>
    </xf>
    <xf numFmtId="0" fontId="1" fillId="5" borderId="65" xfId="0" applyFont="1" applyFill="1" applyBorder="1" applyAlignment="1" applyProtection="1">
      <alignment horizontal="center" vertical="top" wrapText="1"/>
      <protection hidden="1"/>
    </xf>
    <xf numFmtId="166" fontId="2" fillId="14" borderId="57" xfId="0" applyNumberFormat="1" applyFont="1" applyFill="1" applyBorder="1" applyAlignment="1" applyProtection="1">
      <alignment horizontal="center" vertical="center"/>
      <protection hidden="1"/>
    </xf>
    <xf numFmtId="166" fontId="2" fillId="14" borderId="64" xfId="0" applyNumberFormat="1" applyFont="1" applyFill="1" applyBorder="1" applyAlignment="1" applyProtection="1">
      <alignment horizontal="center" vertical="center"/>
      <protection hidden="1"/>
    </xf>
    <xf numFmtId="166" fontId="2" fillId="14" borderId="63" xfId="0" applyNumberFormat="1" applyFont="1" applyFill="1" applyBorder="1" applyAlignment="1" applyProtection="1">
      <alignment horizontal="center" vertical="center"/>
      <protection hidden="1"/>
    </xf>
    <xf numFmtId="0" fontId="63" fillId="9" borderId="6" xfId="0" applyFont="1" applyFill="1" applyBorder="1" applyAlignment="1" applyProtection="1">
      <alignment horizontal="center" vertical="center" wrapText="1"/>
      <protection hidden="1"/>
    </xf>
    <xf numFmtId="0" fontId="63" fillId="9" borderId="7" xfId="0" applyFont="1" applyFill="1" applyBorder="1" applyAlignment="1" applyProtection="1">
      <alignment horizontal="center" vertical="center" wrapText="1"/>
      <protection hidden="1"/>
    </xf>
    <xf numFmtId="0" fontId="63" fillId="9" borderId="8"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1" fillId="5" borderId="60" xfId="0" applyFont="1" applyFill="1" applyBorder="1" applyAlignment="1" applyProtection="1">
      <alignment horizontal="center" vertical="top" wrapText="1"/>
      <protection hidden="1"/>
    </xf>
    <xf numFmtId="0" fontId="1" fillId="5" borderId="50" xfId="0" applyFont="1" applyFill="1" applyBorder="1" applyAlignment="1" applyProtection="1">
      <alignment horizontal="center" vertical="top"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63" fillId="4" borderId="9" xfId="0" applyFont="1" applyFill="1" applyBorder="1" applyAlignment="1" applyProtection="1">
      <alignment horizontal="center" vertical="center" wrapText="1"/>
      <protection hidden="1"/>
    </xf>
    <xf numFmtId="0" fontId="63" fillId="4" borderId="27" xfId="0" applyFont="1" applyFill="1" applyBorder="1" applyAlignment="1" applyProtection="1">
      <alignment horizontal="center" vertical="center" wrapText="1"/>
      <protection hidden="1"/>
    </xf>
    <xf numFmtId="0" fontId="63" fillId="4" borderId="12" xfId="0" applyFont="1" applyFill="1" applyBorder="1" applyAlignment="1" applyProtection="1">
      <alignment horizontal="center" vertical="center" wrapText="1"/>
      <protection hidden="1"/>
    </xf>
    <xf numFmtId="170" fontId="28" fillId="6" borderId="22" xfId="0" applyNumberFormat="1" applyFont="1" applyFill="1" applyBorder="1" applyAlignment="1" applyProtection="1">
      <alignment horizontal="center" vertical="center" wrapText="1"/>
      <protection hidden="1"/>
    </xf>
    <xf numFmtId="0" fontId="63" fillId="4" borderId="25" xfId="0" applyFont="1" applyFill="1" applyBorder="1" applyAlignment="1" applyProtection="1">
      <alignment horizontal="center" vertical="center" wrapText="1"/>
      <protection hidden="1"/>
    </xf>
    <xf numFmtId="0" fontId="63" fillId="4" borderId="26" xfId="0" applyFont="1" applyFill="1" applyBorder="1" applyAlignment="1" applyProtection="1">
      <alignment horizontal="center" vertical="center" wrapText="1"/>
      <protection hidden="1"/>
    </xf>
    <xf numFmtId="0" fontId="63" fillId="4" borderId="24" xfId="0" applyFont="1" applyFill="1" applyBorder="1" applyAlignment="1" applyProtection="1">
      <alignment horizontal="center" vertical="center" wrapText="1"/>
      <protection hidden="1"/>
    </xf>
    <xf numFmtId="0" fontId="63" fillId="4" borderId="0" xfId="0" applyFont="1" applyFill="1" applyBorder="1" applyAlignment="1" applyProtection="1">
      <alignment horizontal="center" vertical="center" wrapText="1"/>
      <protection hidden="1"/>
    </xf>
    <xf numFmtId="0" fontId="63" fillId="4" borderId="16" xfId="0" applyFont="1" applyFill="1" applyBorder="1" applyAlignment="1" applyProtection="1">
      <alignment horizontal="center" vertical="center" wrapText="1"/>
      <protection hidden="1"/>
    </xf>
    <xf numFmtId="0" fontId="59" fillId="0" borderId="1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9" fillId="0" borderId="0" xfId="0" applyFont="1" applyAlignment="1">
      <alignment horizontal="justify" vertical="justify"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68" fillId="0" borderId="0" xfId="0" applyFont="1" applyAlignment="1">
      <alignment horizontal="left" vertical="justify" wrapText="1"/>
    </xf>
    <xf numFmtId="0" fontId="10" fillId="0" borderId="0" xfId="0" applyFont="1" applyAlignment="1">
      <alignment horizontal="center" vertical="center" wrapText="1"/>
    </xf>
    <xf numFmtId="0" fontId="10" fillId="0" borderId="0" xfId="0" applyFont="1" applyBorder="1" applyAlignment="1">
      <alignment horizontal="left" vertical="center" wrapText="1"/>
    </xf>
    <xf numFmtId="0" fontId="9" fillId="0" borderId="0" xfId="0" applyFont="1" applyAlignment="1">
      <alignment horizontal="left"/>
    </xf>
    <xf numFmtId="170" fontId="9" fillId="0" borderId="0" xfId="0" applyNumberFormat="1"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68" fillId="0" borderId="0" xfId="0" applyFont="1" applyAlignment="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left" vertical="justify" wrapText="1"/>
    </xf>
    <xf numFmtId="2" fontId="71" fillId="0" borderId="3" xfId="0" applyNumberFormat="1" applyFont="1" applyBorder="1" applyAlignment="1">
      <alignment horizontal="center" vertical="center" wrapText="1"/>
    </xf>
    <xf numFmtId="165" fontId="71" fillId="2" borderId="8" xfId="0" applyNumberFormat="1" applyFont="1" applyFill="1" applyBorder="1" applyAlignment="1">
      <alignment horizontal="center" vertical="center" wrapText="1"/>
    </xf>
    <xf numFmtId="165" fontId="71" fillId="2" borderId="1" xfId="0" applyNumberFormat="1" applyFont="1" applyFill="1" applyBorder="1" applyAlignment="1">
      <alignment horizontal="center" vertical="center" wrapText="1"/>
    </xf>
    <xf numFmtId="2" fontId="71" fillId="2" borderId="8" xfId="0" applyNumberFormat="1" applyFont="1" applyFill="1" applyBorder="1" applyAlignment="1">
      <alignment horizontal="center" vertical="center" wrapText="1"/>
    </xf>
    <xf numFmtId="2" fontId="71" fillId="2" borderId="1" xfId="0" applyNumberFormat="1" applyFont="1" applyFill="1" applyBorder="1" applyAlignment="1">
      <alignment horizontal="center" vertical="center" wrapText="1"/>
    </xf>
    <xf numFmtId="0" fontId="71" fillId="0" borderId="6"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8" xfId="0" applyFont="1" applyBorder="1" applyAlignment="1">
      <alignment horizontal="center" vertical="center" wrapText="1"/>
    </xf>
    <xf numFmtId="0" fontId="21" fillId="0" borderId="0" xfId="0" applyFont="1" applyAlignment="1">
      <alignment horizontal="left" vertical="center"/>
    </xf>
    <xf numFmtId="0" fontId="76" fillId="0" borderId="5" xfId="0" applyFont="1" applyBorder="1" applyAlignment="1">
      <alignment horizontal="left" vertical="center" wrapText="1"/>
    </xf>
    <xf numFmtId="0" fontId="9" fillId="0" borderId="5" xfId="0" applyFont="1" applyBorder="1" applyAlignment="1">
      <alignment horizontal="left" vertical="center" wrapText="1"/>
    </xf>
    <xf numFmtId="0" fontId="71" fillId="0" borderId="10" xfId="0" applyFont="1" applyBorder="1" applyAlignment="1">
      <alignment horizontal="left" vertical="center" wrapText="1"/>
    </xf>
    <xf numFmtId="0" fontId="71" fillId="0" borderId="0" xfId="0" applyFont="1" applyBorder="1" applyAlignment="1">
      <alignment horizontal="left" vertical="center" wrapText="1"/>
    </xf>
    <xf numFmtId="0" fontId="71" fillId="0" borderId="51" xfId="0" applyFont="1" applyBorder="1" applyAlignment="1">
      <alignment horizontal="left" vertical="center" wrapText="1"/>
    </xf>
    <xf numFmtId="1" fontId="93" fillId="0" borderId="6" xfId="0" applyNumberFormat="1" applyFont="1" applyBorder="1" applyAlignment="1">
      <alignment horizontal="center" vertical="center" wrapText="1"/>
    </xf>
    <xf numFmtId="0" fontId="93" fillId="0" borderId="8" xfId="0" applyFont="1" applyBorder="1" applyAlignment="1">
      <alignment horizontal="center" vertical="center" wrapText="1"/>
    </xf>
    <xf numFmtId="1" fontId="88" fillId="0" borderId="6" xfId="0" applyNumberFormat="1" applyFont="1" applyBorder="1" applyAlignment="1">
      <alignment horizontal="center" vertical="center" wrapText="1"/>
    </xf>
    <xf numFmtId="0" fontId="88" fillId="0" borderId="8" xfId="0" applyFont="1" applyBorder="1" applyAlignment="1">
      <alignment horizontal="center" vertical="center" wrapText="1"/>
    </xf>
    <xf numFmtId="0" fontId="71" fillId="0" borderId="6" xfId="0" applyFont="1" applyBorder="1" applyAlignment="1">
      <alignment horizontal="left" vertical="center" wrapText="1"/>
    </xf>
    <xf numFmtId="0" fontId="71" fillId="0" borderId="7" xfId="0" applyFont="1" applyBorder="1" applyAlignment="1">
      <alignment horizontal="left" vertical="center" wrapText="1"/>
    </xf>
    <xf numFmtId="0" fontId="71" fillId="0" borderId="8" xfId="0" applyFont="1" applyBorder="1" applyAlignment="1">
      <alignment horizontal="left" vertical="center" wrapText="1"/>
    </xf>
    <xf numFmtId="0" fontId="71" fillId="0" borderId="49" xfId="0" applyFont="1" applyBorder="1" applyAlignment="1">
      <alignment horizontal="center" vertical="center" wrapText="1"/>
    </xf>
    <xf numFmtId="0" fontId="71" fillId="0" borderId="40" xfId="0" applyFont="1" applyBorder="1" applyAlignment="1">
      <alignment horizontal="center" vertical="center" wrapText="1"/>
    </xf>
    <xf numFmtId="1" fontId="71" fillId="0" borderId="49" xfId="0" applyNumberFormat="1" applyFont="1" applyBorder="1" applyAlignment="1">
      <alignment horizontal="center" vertical="center" wrapText="1"/>
    </xf>
    <xf numFmtId="0" fontId="71" fillId="0" borderId="2" xfId="0" applyFont="1" applyBorder="1" applyAlignment="1">
      <alignment horizontal="left" vertical="center" wrapText="1"/>
    </xf>
    <xf numFmtId="0" fontId="71" fillId="0" borderId="3" xfId="0" applyFont="1" applyBorder="1" applyAlignment="1">
      <alignment horizontal="left" vertical="center" wrapText="1"/>
    </xf>
    <xf numFmtId="0" fontId="71" fillId="0" borderId="4" xfId="0" applyFont="1" applyBorder="1" applyAlignment="1">
      <alignment horizontal="left" vertical="center" wrapText="1"/>
    </xf>
    <xf numFmtId="14" fontId="93" fillId="0" borderId="6" xfId="0" applyNumberFormat="1" applyFont="1" applyBorder="1" applyAlignment="1">
      <alignment horizontal="center" vertical="center" wrapText="1"/>
    </xf>
    <xf numFmtId="14" fontId="71"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179" fontId="9" fillId="0" borderId="6" xfId="0" applyNumberFormat="1" applyFont="1" applyBorder="1" applyAlignment="1">
      <alignment horizontal="center" vertical="center" wrapText="1"/>
    </xf>
    <xf numFmtId="179" fontId="9" fillId="0" borderId="8"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178" fontId="9" fillId="0" borderId="6" xfId="0" applyNumberFormat="1" applyFont="1" applyBorder="1" applyAlignment="1">
      <alignment horizontal="center" vertical="center" wrapText="1"/>
    </xf>
    <xf numFmtId="178" fontId="9" fillId="0" borderId="7" xfId="0" applyNumberFormat="1" applyFont="1" applyBorder="1" applyAlignment="1">
      <alignment horizontal="center" vertical="center" wrapText="1"/>
    </xf>
    <xf numFmtId="178" fontId="9" fillId="0" borderId="8" xfId="0" applyNumberFormat="1"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justify" wrapText="1"/>
    </xf>
    <xf numFmtId="0" fontId="3" fillId="0" borderId="0" xfId="0" applyFont="1" applyAlignment="1">
      <alignment horizontal="justify" vertical="justify" wrapText="1"/>
    </xf>
    <xf numFmtId="0" fontId="10" fillId="0" borderId="0" xfId="0" applyFont="1" applyAlignment="1">
      <alignment horizontal="left" vertical="center"/>
    </xf>
    <xf numFmtId="0" fontId="3" fillId="0" borderId="0" xfId="0" applyFont="1" applyAlignment="1">
      <alignment horizontal="center" vertical="center"/>
    </xf>
    <xf numFmtId="0" fontId="9" fillId="0" borderId="0" xfId="0" applyFont="1" applyBorder="1" applyAlignment="1">
      <alignment horizontal="left" vertical="center" wrapText="1"/>
    </xf>
    <xf numFmtId="0" fontId="21" fillId="0" borderId="0" xfId="0" applyFont="1" applyBorder="1" applyAlignment="1">
      <alignment horizontal="left" vertical="center" wrapText="1"/>
    </xf>
    <xf numFmtId="14" fontId="9" fillId="0" borderId="0" xfId="0" applyNumberFormat="1" applyFont="1" applyBorder="1" applyAlignment="1">
      <alignment horizontal="left" vertical="center" wrapText="1"/>
    </xf>
    <xf numFmtId="0" fontId="9" fillId="0" borderId="0" xfId="0" applyFont="1" applyAlignment="1">
      <alignment vertical="center" wrapText="1"/>
    </xf>
    <xf numFmtId="0" fontId="28" fillId="0" borderId="0" xfId="0" applyFont="1" applyAlignment="1">
      <alignment horizontal="justify" vertical="justify" wrapText="1"/>
    </xf>
    <xf numFmtId="0" fontId="9" fillId="0" borderId="0" xfId="0" applyFont="1" applyAlignment="1">
      <alignment horizontal="left" vertical="justify"/>
    </xf>
    <xf numFmtId="170" fontId="9" fillId="0" borderId="0" xfId="0" applyNumberFormat="1" applyFont="1" applyBorder="1" applyAlignment="1">
      <alignment horizontal="left" vertical="center" wrapText="1"/>
    </xf>
    <xf numFmtId="0" fontId="9" fillId="0" borderId="0" xfId="0" applyFont="1" applyBorder="1" applyAlignment="1">
      <alignment horizontal="center" vertical="center" wrapText="1"/>
    </xf>
    <xf numFmtId="0" fontId="21" fillId="0" borderId="0" xfId="0" applyFont="1" applyAlignment="1">
      <alignment horizontal="left" vertical="center" wrapText="1"/>
    </xf>
    <xf numFmtId="14" fontId="9" fillId="0" borderId="0" xfId="0" applyNumberFormat="1" applyFont="1" applyAlignment="1">
      <alignment horizontal="left" vertical="center" wrapText="1"/>
    </xf>
    <xf numFmtId="2" fontId="9" fillId="0" borderId="0" xfId="0" applyNumberFormat="1" applyFont="1" applyBorder="1" applyAlignment="1">
      <alignment horizontal="left" vertical="center" wrapText="1"/>
    </xf>
  </cellXfs>
  <cellStyles count="9">
    <cellStyle name="Buena" xfId="1" builtinId="26"/>
    <cellStyle name="Estilo 1" xfId="2"/>
    <cellStyle name="Estilo 2" xfId="3"/>
    <cellStyle name="Estilo 3" xfId="4"/>
    <cellStyle name="Estilo 4" xfId="5"/>
    <cellStyle name="Estilo 5" xfId="6"/>
    <cellStyle name="Estilo 6" xfId="7"/>
    <cellStyle name="Normal" xfId="0" builtinId="0"/>
    <cellStyle name="Porcentaje" xfId="8" builtinId="5"/>
  </cellStyles>
  <dxfs count="3">
    <dxf>
      <font>
        <b/>
        <i val="0"/>
        <color auto="1"/>
      </font>
      <fill>
        <patternFill>
          <bgColor rgb="FFFFC7CE"/>
        </patternFill>
      </fill>
    </dxf>
    <dxf>
      <font>
        <b/>
        <i val="0"/>
      </font>
    </dxf>
    <dxf>
      <fill>
        <patternFill>
          <bgColor rgb="FFFF0000"/>
        </patternFill>
      </fill>
    </dxf>
  </dxfs>
  <tableStyles count="0" defaultTableStyle="TableStyleMedium2" defaultPivotStyle="PivotStyleLight16"/>
  <colors>
    <mruColors>
      <color rgb="FFDDEBF7"/>
      <color rgb="FF9BC2E6"/>
      <color rgb="FF81B0E4"/>
      <color rgb="FF073763"/>
      <color rgb="FF91C6F7"/>
      <color rgb="FF5FF3CB"/>
      <color rgb="FF538DD5"/>
      <color rgb="FF92D050"/>
      <color rgb="FFFCE4D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#N/A</c:v>
                </c:pt>
                <c:pt idx="1">
                  <c:v>#N/A</c:v>
                </c:pt>
                <c:pt idx="2">
                  <c:v>#N/A</c:v>
                </c:pt>
              </c:numCache>
            </c:numRef>
          </c:xVal>
          <c:yVal>
            <c:numRef>
              <c:f>'RT03-F11'!$G$8:$G$10</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713197136"/>
        <c:axId val="713204208"/>
      </c:scatterChart>
      <c:valAx>
        <c:axId val="713197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13204208"/>
        <c:crosses val="autoZero"/>
        <c:crossBetween val="midCat"/>
      </c:valAx>
      <c:valAx>
        <c:axId val="713204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13197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#N/A</c:v>
                </c:pt>
                <c:pt idx="1">
                  <c:v>#N/A</c:v>
                </c:pt>
                <c:pt idx="2">
                  <c:v>#N/A</c:v>
                </c:pt>
              </c:numCache>
            </c:numRef>
          </c:xVal>
          <c:yVal>
            <c:numRef>
              <c:f>'RT03-F11'!$G$11:$G$13</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713200944"/>
        <c:axId val="713201488"/>
      </c:scatterChart>
      <c:valAx>
        <c:axId val="713200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13201488"/>
        <c:crosses val="autoZero"/>
        <c:crossBetween val="midCat"/>
      </c:valAx>
      <c:valAx>
        <c:axId val="713201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13200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200033" y="86593"/>
          <a:ext cx="1923118" cy="8353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631605</xdr:colOff>
      <xdr:row>0</xdr:row>
      <xdr:rowOff>23677</xdr:rowOff>
    </xdr:from>
    <xdr:to>
      <xdr:col>2</xdr:col>
      <xdr:colOff>489858</xdr:colOff>
      <xdr:row>0</xdr:row>
      <xdr:rowOff>979714</xdr:rowOff>
    </xdr:to>
    <xdr:pic>
      <xdr:nvPicPr>
        <xdr:cNvPr id="2" name="Picture 50" descr="\\Abeltran\publico\Logo completo.gif">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31605" y="23677"/>
          <a:ext cx="2225896" cy="956037"/>
        </a:xfrm>
        <a:prstGeom prst="rect">
          <a:avLst/>
        </a:prstGeom>
        <a:noFill/>
        <a:ln w="9525">
          <a:noFill/>
          <a:miter lim="800000"/>
          <a:headEnd/>
          <a:tailEnd/>
        </a:ln>
      </xdr:spPr>
    </xdr:pic>
    <xdr:clientData/>
  </xdr:twoCellAnchor>
  <xdr:oneCellAnchor>
    <xdr:from>
      <xdr:col>4</xdr:col>
      <xdr:colOff>460171</xdr:colOff>
      <xdr:row>60</xdr:row>
      <xdr:rowOff>59821</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100-000003000000}"/>
                </a:ext>
              </a:extLst>
            </xdr:cNvPr>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100-000005000000}"/>
                </a:ext>
              </a:extLst>
            </xdr:cNvPr>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100-000007000000}"/>
                </a:ext>
              </a:extLst>
            </xdr:cNvPr>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100-000008000000}"/>
                </a:ext>
              </a:extLst>
            </xdr:cNvPr>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100-000009000000}"/>
                </a:ext>
              </a:extLst>
            </xdr:cNvPr>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75</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77</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100-00000B000000}"/>
                </a:ext>
              </a:extLst>
            </xdr:cNvPr>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80</xdr:row>
      <xdr:rowOff>0</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100-00000C000000}"/>
                </a:ext>
              </a:extLst>
            </xdr:cNvPr>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74</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100-00000D000000}"/>
                </a:ext>
              </a:extLst>
            </xdr:cNvPr>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72</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100-00000E000000}"/>
                </a:ext>
              </a:extLst>
            </xdr:cNvPr>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67</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100-00000F000000}"/>
                </a:ext>
              </a:extLst>
            </xdr:cNvPr>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78</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100-000010000000}"/>
                </a:ext>
              </a:extLst>
            </xdr:cNvPr>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69</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100-000011000000}"/>
                </a:ext>
              </a:extLst>
            </xdr:cNvPr>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75</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100-000012000000}"/>
                </a:ext>
              </a:extLst>
            </xdr:cNvPr>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66</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100-000013000000}"/>
                </a:ext>
              </a:extLst>
            </xdr:cNvPr>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80</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100-000014000000}"/>
                </a:ext>
              </a:extLst>
            </xdr:cNvPr>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153761</xdr:colOff>
      <xdr:row>5</xdr:row>
      <xdr:rowOff>383236</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100-000015000000}"/>
                </a:ext>
              </a:extLst>
            </xdr:cNvPr>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222935</xdr:colOff>
      <xdr:row>59</xdr:row>
      <xdr:rowOff>68035</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100-000017000000}"/>
                </a:ext>
              </a:extLst>
            </xdr:cNvPr>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327945</xdr:colOff>
      <xdr:row>59</xdr:row>
      <xdr:rowOff>372275</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100-000018000000}"/>
                </a:ext>
              </a:extLst>
            </xdr:cNvPr>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100-000019000000}"/>
                </a:ext>
              </a:extLst>
            </xdr:cNvPr>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112</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100-00001A000000}"/>
                </a:ext>
              </a:extLst>
            </xdr:cNvPr>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113</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100-00001B000000}"/>
                </a:ext>
              </a:extLst>
            </xdr:cNvPr>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114</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100-00001C000000}"/>
                </a:ext>
              </a:extLst>
            </xdr:cNvPr>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115</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100-00001D000000}"/>
                </a:ext>
              </a:extLst>
            </xdr:cNvPr>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169689</xdr:colOff>
      <xdr:row>116</xdr:row>
      <xdr:rowOff>1802</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100-00001F000000}"/>
                </a:ext>
              </a:extLst>
            </xdr:cNvPr>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50</xdr:row>
      <xdr:rowOff>290512</xdr:rowOff>
    </xdr:from>
    <xdr:ext cx="65" cy="172227"/>
    <xdr:sp macro="" textlink="">
      <xdr:nvSpPr>
        <xdr:cNvPr id="32" name="CuadroTexto 31">
          <a:extLst>
            <a:ext uri="{FF2B5EF4-FFF2-40B4-BE49-F238E27FC236}">
              <a16:creationId xmlns:a16="http://schemas.microsoft.com/office/drawing/2014/main" xmlns="" id="{00000000-0008-0000-0100-000020000000}"/>
            </a:ext>
          </a:extLst>
        </xdr:cNvPr>
        <xdr:cNvSpPr txBox="1"/>
      </xdr:nvSpPr>
      <xdr:spPr>
        <a:xfrm>
          <a:off x="16497300"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628650</xdr:colOff>
      <xdr:row>123</xdr:row>
      <xdr:rowOff>0</xdr:rowOff>
    </xdr:from>
    <xdr:ext cx="65" cy="172227"/>
    <xdr:sp macro="" textlink="">
      <xdr:nvSpPr>
        <xdr:cNvPr id="33" name="CuadroTexto 32">
          <a:extLst>
            <a:ext uri="{FF2B5EF4-FFF2-40B4-BE49-F238E27FC236}">
              <a16:creationId xmlns:a16="http://schemas.microsoft.com/office/drawing/2014/main" xmlns="" id="{00000000-0008-0000-0100-000021000000}"/>
            </a:ext>
          </a:extLst>
        </xdr:cNvPr>
        <xdr:cNvSpPr txBox="1"/>
      </xdr:nvSpPr>
      <xdr:spPr>
        <a:xfrm>
          <a:off x="16497300" y="4207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649787</xdr:colOff>
      <xdr:row>86</xdr:row>
      <xdr:rowOff>202369</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100-000022000000}"/>
                </a:ext>
              </a:extLst>
            </xdr:cNvPr>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rPr>
                          <m:t>𝑽</m:t>
                        </m:r>
                      </m:e>
                      <m:sub>
                        <m:r>
                          <a:rPr lang="es-CO" sz="1200" b="1" i="1">
                            <a:latin typeface="Cambria Math" panose="02040503050406030204" pitchFamily="18" charset="0"/>
                          </a:rPr>
                          <m:t>𝒐</m:t>
                        </m:r>
                      </m:sub>
                    </m:sSub>
                  </m:oMath>
                </m:oMathPara>
              </a14:m>
              <a:endParaRPr lang="es-CO" sz="1100" b="1"/>
            </a:p>
          </xdr:txBody>
        </xdr:sp>
      </mc:Choice>
      <mc:Fallback xmlns="">
        <xdr:sp macro="" textlink="">
          <xdr:nvSpPr>
            <xdr:cNvPr id="34" name="CuadroTexto 33"/>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1" i="0">
                  <a:latin typeface="Cambria Math" panose="02040503050406030204" pitchFamily="18" charset="0"/>
                </a:rPr>
                <a:t>𝑽_𝒐</a:t>
              </a:r>
              <a:endParaRPr lang="es-CO" sz="1100" b="1"/>
            </a:p>
          </xdr:txBody>
        </xdr:sp>
      </mc:Fallback>
    </mc:AlternateContent>
    <xdr:clientData/>
  </xdr:oneCellAnchor>
  <xdr:twoCellAnchor>
    <xdr:from>
      <xdr:col>0</xdr:col>
      <xdr:colOff>1009865</xdr:colOff>
      <xdr:row>49</xdr:row>
      <xdr:rowOff>20567</xdr:rowOff>
    </xdr:from>
    <xdr:to>
      <xdr:col>15</xdr:col>
      <xdr:colOff>698137</xdr:colOff>
      <xdr:row>50</xdr:row>
      <xdr:rowOff>561543</xdr:rowOff>
    </xdr:to>
    <xdr:sp macro="" textlink="">
      <xdr:nvSpPr>
        <xdr:cNvPr id="30" name="Rectángulo redondeado 29">
          <a:extLst>
            <a:ext uri="{FF2B5EF4-FFF2-40B4-BE49-F238E27FC236}">
              <a16:creationId xmlns:a16="http://schemas.microsoft.com/office/drawing/2014/main" xmlns="" id="{00000000-0008-0000-0100-00001E000000}"/>
            </a:ext>
          </a:extLst>
        </xdr:cNvPr>
        <xdr:cNvSpPr/>
      </xdr:nvSpPr>
      <xdr:spPr>
        <a:xfrm>
          <a:off x="1009865" y="18820536"/>
          <a:ext cx="14987803" cy="9219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1083588</xdr:colOff>
      <xdr:row>49</xdr:row>
      <xdr:rowOff>276008</xdr:rowOff>
    </xdr:from>
    <xdr:ext cx="14948649" cy="519544"/>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100-000016000000}"/>
                </a:ext>
              </a:extLst>
            </xdr:cNvPr>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22" name="CuadroTexto 21"/>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twoCellAnchor>
    <xdr:from>
      <xdr:col>19</xdr:col>
      <xdr:colOff>122465</xdr:colOff>
      <xdr:row>5</xdr:row>
      <xdr:rowOff>594630</xdr:rowOff>
    </xdr:from>
    <xdr:to>
      <xdr:col>25</xdr:col>
      <xdr:colOff>122465</xdr:colOff>
      <xdr:row>13</xdr:row>
      <xdr:rowOff>44902</xdr:rowOff>
    </xdr:to>
    <xdr:graphicFrame macro="">
      <xdr:nvGraphicFramePr>
        <xdr:cNvPr id="36" name="Gráfico 35">
          <a:extLst>
            <a:ext uri="{FF2B5EF4-FFF2-40B4-BE49-F238E27FC236}">
              <a16:creationId xmlns:a16="http://schemas.microsoft.com/office/drawing/2014/main" xmlns=""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244929</xdr:colOff>
      <xdr:row>14</xdr:row>
      <xdr:rowOff>9525</xdr:rowOff>
    </xdr:from>
    <xdr:to>
      <xdr:col>25</xdr:col>
      <xdr:colOff>244929</xdr:colOff>
      <xdr:row>21</xdr:row>
      <xdr:rowOff>99332</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600076</xdr:colOff>
      <xdr:row>0</xdr:row>
      <xdr:rowOff>52197</xdr:rowOff>
    </xdr:from>
    <xdr:to>
      <xdr:col>2</xdr:col>
      <xdr:colOff>297656</xdr:colOff>
      <xdr:row>0</xdr:row>
      <xdr:rowOff>892968</xdr:rowOff>
    </xdr:to>
    <xdr:pic>
      <xdr:nvPicPr>
        <xdr:cNvPr id="2" name="Picture 50"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00076" y="52197"/>
          <a:ext cx="2281236" cy="840771"/>
        </a:xfrm>
        <a:prstGeom prst="rect">
          <a:avLst/>
        </a:prstGeom>
        <a:noFill/>
        <a:ln w="9525">
          <a:noFill/>
          <a:miter lim="800000"/>
          <a:headEnd/>
          <a:tailEnd/>
        </a:ln>
      </xdr:spPr>
    </xdr:pic>
    <xdr:clientData/>
  </xdr:twoCellAnchor>
  <xdr:oneCellAnchor>
    <xdr:from>
      <xdr:col>4</xdr:col>
      <xdr:colOff>773639</xdr:colOff>
      <xdr:row>58</xdr:row>
      <xdr:rowOff>54808</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75</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77</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152059</xdr:colOff>
      <xdr:row>79</xdr:row>
      <xdr:rowOff>53386</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72</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70</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65</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76</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67</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73</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64</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78</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63273</xdr:colOff>
      <xdr:row>5</xdr:row>
      <xdr:rowOff>407049</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448073</xdr:colOff>
      <xdr:row>57</xdr:row>
      <xdr:rowOff>91847</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792289</xdr:colOff>
      <xdr:row>57</xdr:row>
      <xdr:rowOff>360370</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112</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113</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114</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115</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62531</xdr:colOff>
      <xdr:row>116</xdr:row>
      <xdr:rowOff>49428</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123</xdr:row>
      <xdr:rowOff>0</xdr:rowOff>
    </xdr:from>
    <xdr:ext cx="65" cy="172227"/>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14230350" y="41462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649387</xdr:colOff>
      <xdr:row>86</xdr:row>
      <xdr:rowOff>233584</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200-000022000000}"/>
                </a:ext>
              </a:extLst>
            </xdr:cNvPr>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i="1">
                            <a:latin typeface="Cambria Math" panose="02040503050406030204" pitchFamily="18" charset="0"/>
                          </a:rPr>
                        </m:ctrlPr>
                      </m:sSubPr>
                      <m:e>
                        <m:r>
                          <a:rPr lang="es-CO" sz="1200" b="0" i="1">
                            <a:latin typeface="Cambria Math" panose="02040503050406030204" pitchFamily="18" charset="0"/>
                          </a:rPr>
                          <m:t>𝑉</m:t>
                        </m:r>
                      </m:e>
                      <m:sub>
                        <m:r>
                          <a:rPr lang="es-CO" sz="1200" b="0" i="1">
                            <a:latin typeface="Cambria Math" panose="02040503050406030204" pitchFamily="18" charset="0"/>
                          </a:rPr>
                          <m:t>𝑜</m:t>
                        </m:r>
                      </m:sub>
                    </m:sSub>
                  </m:oMath>
                </m:oMathPara>
              </a14:m>
              <a:endParaRPr lang="es-CO" sz="1100"/>
            </a:p>
          </xdr:txBody>
        </xdr:sp>
      </mc:Choice>
      <mc:Fallback xmlns="">
        <xdr:sp macro="" textlink="">
          <xdr:nvSpPr>
            <xdr:cNvPr id="34" name="CuadroTexto 33"/>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0" i="0">
                  <a:latin typeface="Cambria Math" panose="02040503050406030204" pitchFamily="18" charset="0"/>
                </a:rPr>
                <a:t>𝑉_𝑜</a:t>
              </a:r>
              <a:endParaRPr lang="es-CO" sz="1100"/>
            </a:p>
          </xdr:txBody>
        </xdr:sp>
      </mc:Fallback>
    </mc:AlternateContent>
    <xdr:clientData/>
  </xdr:oneCellAnchor>
  <xdr:oneCellAnchor>
    <xdr:from>
      <xdr:col>4</xdr:col>
      <xdr:colOff>628650</xdr:colOff>
      <xdr:row>51</xdr:row>
      <xdr:rowOff>290512</xdr:rowOff>
    </xdr:from>
    <xdr:ext cx="65" cy="172227"/>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51</xdr:row>
      <xdr:rowOff>290512</xdr:rowOff>
    </xdr:from>
    <xdr:ext cx="65" cy="172227"/>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51</xdr:row>
      <xdr:rowOff>290512</xdr:rowOff>
    </xdr:from>
    <xdr:ext cx="65" cy="172227"/>
    <xdr:sp macro="" textlink="">
      <xdr:nvSpPr>
        <xdr:cNvPr id="43" name="CuadroTexto 42">
          <a:extLst>
            <a:ext uri="{FF2B5EF4-FFF2-40B4-BE49-F238E27FC236}">
              <a16:creationId xmlns:a16="http://schemas.microsoft.com/office/drawing/2014/main" xmlns="" id="{00000000-0008-0000-0200-00002B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51</xdr:row>
      <xdr:rowOff>290512</xdr:rowOff>
    </xdr:from>
    <xdr:ext cx="65" cy="172227"/>
    <xdr:sp macro="" textlink="">
      <xdr:nvSpPr>
        <xdr:cNvPr id="44" name="CuadroTexto 43">
          <a:extLst>
            <a:ext uri="{FF2B5EF4-FFF2-40B4-BE49-F238E27FC236}">
              <a16:creationId xmlns:a16="http://schemas.microsoft.com/office/drawing/2014/main" xmlns="" id="{00000000-0008-0000-0200-00002C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51</xdr:row>
      <xdr:rowOff>290512</xdr:rowOff>
    </xdr:from>
    <xdr:ext cx="65" cy="172227"/>
    <xdr:sp macro="" textlink="">
      <xdr:nvSpPr>
        <xdr:cNvPr id="45" name="CuadroTexto 44">
          <a:extLst>
            <a:ext uri="{FF2B5EF4-FFF2-40B4-BE49-F238E27FC236}">
              <a16:creationId xmlns:a16="http://schemas.microsoft.com/office/drawing/2014/main" xmlns="" id="{00000000-0008-0000-0200-00002D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51</xdr:row>
      <xdr:rowOff>290512</xdr:rowOff>
    </xdr:from>
    <xdr:ext cx="65" cy="172227"/>
    <xdr:sp macro="" textlink="">
      <xdr:nvSpPr>
        <xdr:cNvPr id="46" name="CuadroTexto 45">
          <a:extLst>
            <a:ext uri="{FF2B5EF4-FFF2-40B4-BE49-F238E27FC236}">
              <a16:creationId xmlns:a16="http://schemas.microsoft.com/office/drawing/2014/main" xmlns="" id="{00000000-0008-0000-0200-00002E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51</xdr:row>
      <xdr:rowOff>290512</xdr:rowOff>
    </xdr:from>
    <xdr:ext cx="65" cy="172227"/>
    <xdr:sp macro="" textlink="">
      <xdr:nvSpPr>
        <xdr:cNvPr id="47" name="CuadroTexto 46">
          <a:extLst>
            <a:ext uri="{FF2B5EF4-FFF2-40B4-BE49-F238E27FC236}">
              <a16:creationId xmlns:a16="http://schemas.microsoft.com/office/drawing/2014/main" xmlns="" id="{00000000-0008-0000-0200-00002F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51</xdr:row>
      <xdr:rowOff>290512</xdr:rowOff>
    </xdr:from>
    <xdr:ext cx="65" cy="172227"/>
    <xdr:sp macro="" textlink="">
      <xdr:nvSpPr>
        <xdr:cNvPr id="48" name="CuadroTexto 47">
          <a:extLst>
            <a:ext uri="{FF2B5EF4-FFF2-40B4-BE49-F238E27FC236}">
              <a16:creationId xmlns:a16="http://schemas.microsoft.com/office/drawing/2014/main" xmlns="" id="{00000000-0008-0000-0200-000030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51</xdr:row>
      <xdr:rowOff>290512</xdr:rowOff>
    </xdr:from>
    <xdr:ext cx="65" cy="172227"/>
    <xdr:sp macro="" textlink="">
      <xdr:nvSpPr>
        <xdr:cNvPr id="49" name="CuadroTexto 48">
          <a:extLst>
            <a:ext uri="{FF2B5EF4-FFF2-40B4-BE49-F238E27FC236}">
              <a16:creationId xmlns:a16="http://schemas.microsoft.com/office/drawing/2014/main" xmlns="" id="{00000000-0008-0000-0200-000031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51</xdr:row>
      <xdr:rowOff>290512</xdr:rowOff>
    </xdr:from>
    <xdr:ext cx="65" cy="172227"/>
    <xdr:sp macro="" textlink="">
      <xdr:nvSpPr>
        <xdr:cNvPr id="50" name="CuadroTexto 49">
          <a:extLst>
            <a:ext uri="{FF2B5EF4-FFF2-40B4-BE49-F238E27FC236}">
              <a16:creationId xmlns:a16="http://schemas.microsoft.com/office/drawing/2014/main" xmlns="" id="{00000000-0008-0000-0200-000032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51</xdr:row>
      <xdr:rowOff>290512</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52</xdr:row>
      <xdr:rowOff>290512</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733766</xdr:colOff>
      <xdr:row>47</xdr:row>
      <xdr:rowOff>325551</xdr:rowOff>
    </xdr:from>
    <xdr:to>
      <xdr:col>18</xdr:col>
      <xdr:colOff>422038</xdr:colOff>
      <xdr:row>50</xdr:row>
      <xdr:rowOff>104527</xdr:rowOff>
    </xdr:to>
    <xdr:sp macro="" textlink="">
      <xdr:nvSpPr>
        <xdr:cNvPr id="57" name="Rectángulo redondeado 56">
          <a:extLst>
            <a:ext uri="{FF2B5EF4-FFF2-40B4-BE49-F238E27FC236}">
              <a16:creationId xmlns:a16="http://schemas.microsoft.com/office/drawing/2014/main" xmlns="" id="{00000000-0008-0000-0200-000039000000}"/>
            </a:ext>
          </a:extLst>
        </xdr:cNvPr>
        <xdr:cNvSpPr/>
      </xdr:nvSpPr>
      <xdr:spPr>
        <a:xfrm>
          <a:off x="733766" y="18442101"/>
          <a:ext cx="16166522" cy="11124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1349830</xdr:colOff>
      <xdr:row>48</xdr:row>
      <xdr:rowOff>181315</xdr:rowOff>
    </xdr:from>
    <xdr:ext cx="14948649" cy="519544"/>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xmlns="" id="{00000000-0008-0000-0200-00003E000000}"/>
                </a:ext>
              </a:extLst>
            </xdr:cNvPr>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62" name="CuadroTexto 61"/>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oneCellAnchor>
    <xdr:from>
      <xdr:col>6</xdr:col>
      <xdr:colOff>224472</xdr:colOff>
      <xdr:row>65</xdr:row>
      <xdr:rowOff>37084</xdr:rowOff>
    </xdr:from>
    <xdr:ext cx="1810415" cy="401066"/>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a16="http://schemas.microsoft.com/office/drawing/2014/main" xmlns="" id="{00000000-0008-0000-0200-000041000000}"/>
                </a:ext>
              </a:extLst>
            </xdr:cNvPr>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5" name="CuadroTexto 64"/>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66</xdr:row>
      <xdr:rowOff>371475</xdr:rowOff>
    </xdr:from>
    <xdr:ext cx="1702892" cy="461594"/>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0200-000042000000}"/>
                </a:ext>
              </a:extLst>
            </xdr:cNvPr>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6" name="CuadroTexto 65"/>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69</xdr:row>
      <xdr:rowOff>12152</xdr:rowOff>
    </xdr:from>
    <xdr:ext cx="1894821" cy="444221"/>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0200-000043000000}"/>
                </a:ext>
              </a:extLst>
            </xdr:cNvPr>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7" name="CuadroTexto 66"/>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71</xdr:row>
      <xdr:rowOff>28575</xdr:rowOff>
    </xdr:from>
    <xdr:ext cx="1800356" cy="420794"/>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xmlns="" id="{00000000-0008-0000-0200-000044000000}"/>
                </a:ext>
              </a:extLst>
            </xdr:cNvPr>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73</xdr:row>
      <xdr:rowOff>38034</xdr:rowOff>
    </xdr:from>
    <xdr:ext cx="2019300" cy="411878"/>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xmlns="" id="{00000000-0008-0000-0200-000045000000}"/>
                </a:ext>
              </a:extLst>
            </xdr:cNvPr>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9" name="CuadroTexto 68"/>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64</xdr:row>
      <xdr:rowOff>15585</xdr:rowOff>
    </xdr:from>
    <xdr:ext cx="4533485" cy="366280"/>
    <mc:AlternateContent xmlns:mc="http://schemas.openxmlformats.org/markup-compatibility/2006" xmlns:a14="http://schemas.microsoft.com/office/drawing/2010/main">
      <mc:Choice Requires="a14">
        <xdr:sp macro="" textlink="">
          <xdr:nvSpPr>
            <xdr:cNvPr id="73" name="CuadroTexto 72">
              <a:extLst>
                <a:ext uri="{FF2B5EF4-FFF2-40B4-BE49-F238E27FC236}">
                  <a16:creationId xmlns:a16="http://schemas.microsoft.com/office/drawing/2014/main" xmlns="" id="{00000000-0008-0000-0200-000049000000}"/>
                </a:ext>
              </a:extLst>
            </xdr:cNvPr>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73" name="CuadroTexto 72"/>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10</xdr:col>
      <xdr:colOff>357716</xdr:colOff>
      <xdr:row>52</xdr:row>
      <xdr:rowOff>66675</xdr:rowOff>
    </xdr:from>
    <xdr:ext cx="277284" cy="176741"/>
    <mc:AlternateContent xmlns:mc="http://schemas.openxmlformats.org/markup-compatibility/2006" xmlns:a14="http://schemas.microsoft.com/office/drawing/2010/main">
      <mc:Choice Requires="a14">
        <xdr:sp macro="" textlink="">
          <xdr:nvSpPr>
            <xdr:cNvPr id="74" name="CuadroTexto 73">
              <a:extLst>
                <a:ext uri="{FF2B5EF4-FFF2-40B4-BE49-F238E27FC236}">
                  <a16:creationId xmlns:a16="http://schemas.microsoft.com/office/drawing/2014/main" xmlns="" id="{00000000-0008-0000-0200-00004A000000}"/>
                </a:ext>
              </a:extLst>
            </xdr:cNvPr>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74" name="CuadroTexto 73"/>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460171</xdr:colOff>
      <xdr:row>58</xdr:row>
      <xdr:rowOff>59821</xdr:rowOff>
    </xdr:from>
    <xdr:ext cx="485775" cy="27176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a16="http://schemas.microsoft.com/office/drawing/2014/main" xmlns="" id="{00000000-0008-0000-0200-00004B000000}"/>
                </a:ext>
              </a:extLst>
            </xdr:cNvPr>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75" name="CuadroTexto 74"/>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300-000005000000}"/>
                </a:ext>
              </a:extLst>
            </xdr:cNvPr>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6000000}"/>
                </a:ext>
              </a:extLst>
            </xdr:cNvPr>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7000000}"/>
                </a:ext>
              </a:extLst>
            </xdr:cNvPr>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19</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300-000009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300-00000A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300-00000E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4" name="CuadroTexto 13"/>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19</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300-00000F000000}"/>
                </a:ext>
              </a:extLst>
            </xdr:cNvPr>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300-000010000000}"/>
                </a:ext>
              </a:extLst>
            </xdr:cNvPr>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6" name="CuadroTexto 15"/>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20</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300-000012000000}"/>
                </a:ext>
              </a:extLst>
            </xdr:cNvPr>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8" name="CuadroTexto 17"/>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300-000013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9" name="CuadroTexto 18"/>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20</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300-000018000000}"/>
                </a:ext>
              </a:extLst>
            </xdr:cNvPr>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24" name="CuadroTexto 23"/>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300-000019000000}"/>
                </a:ext>
              </a:extLst>
            </xdr:cNvPr>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25" name="CuadroTexto 24"/>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47</xdr:row>
      <xdr:rowOff>257176</xdr:rowOff>
    </xdr:from>
    <xdr:ext cx="465320"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300-00001B000000}"/>
                </a:ext>
              </a:extLst>
            </xdr:cNvPr>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27" name="CuadroTexto 26"/>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48</xdr:row>
      <xdr:rowOff>165505</xdr:rowOff>
    </xdr:from>
    <xdr:ext cx="1635291" cy="32579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300-00001C000000}"/>
                </a:ext>
              </a:extLst>
            </xdr:cNvPr>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28" name="CuadroTexto 27"/>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300-00001D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9" name="CuadroTexto 28"/>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300-000025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37" name="CuadroTexto 36"/>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300-000026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38" name="CuadroTexto 37"/>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300-00002A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2" name="CuadroTexto 41"/>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0300-00002C000000}"/>
                </a:ext>
              </a:extLst>
            </xdr:cNvPr>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44" name="CuadroTexto 43"/>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0300-00002D000000}"/>
                </a:ext>
              </a:extLst>
            </xdr:cNvPr>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45" name="CuadroTexto 44"/>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a16="http://schemas.microsoft.com/office/drawing/2014/main" xmlns="" id="{00000000-0008-0000-0300-00002F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47" name="CuadroTexto 46"/>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0300-000030000000}"/>
                </a:ext>
              </a:extLst>
            </xdr:cNvPr>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48" name="CuadroTexto 47"/>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17</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300-000031000000}"/>
                </a:ext>
              </a:extLst>
            </xdr:cNvPr>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49" name="CuadroTexto 48"/>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18</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300-000032000000}"/>
                </a:ext>
              </a:extLst>
            </xdr:cNvPr>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50" name="CuadroTexto 49"/>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xmlns="" id="{00000000-0008-0000-0300-000033000000}"/>
                </a:ext>
              </a:extLst>
            </xdr:cNvPr>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1" name="CuadroTexto 50"/>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46</xdr:row>
      <xdr:rowOff>300465</xdr:rowOff>
    </xdr:from>
    <xdr:ext cx="413639" cy="172227"/>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xmlns="" id="{00000000-0008-0000-0300-000036000000}"/>
                </a:ext>
              </a:extLst>
            </xdr:cNvPr>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54" name="CuadroTexto 53"/>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xmlns="" id="{00000000-0008-0000-0300-000039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57" name="CuadroTexto 56"/>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0</xdr:col>
      <xdr:colOff>314325</xdr:colOff>
      <xdr:row>0</xdr:row>
      <xdr:rowOff>76200</xdr:rowOff>
    </xdr:from>
    <xdr:to>
      <xdr:col>2</xdr:col>
      <xdr:colOff>573792</xdr:colOff>
      <xdr:row>0</xdr:row>
      <xdr:rowOff>905435</xdr:rowOff>
    </xdr:to>
    <xdr:pic>
      <xdr:nvPicPr>
        <xdr:cNvPr id="59" name="Picture 50" descr="\\Abeltran\publico\Logo completo.gif">
          <a:extLst>
            <a:ext uri="{FF2B5EF4-FFF2-40B4-BE49-F238E27FC236}">
              <a16:creationId xmlns:a16="http://schemas.microsoft.com/office/drawing/2014/main" xmlns="" id="{00000000-0008-0000-0300-00003B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14325" y="76200"/>
          <a:ext cx="2088267" cy="829235"/>
        </a:xfrm>
        <a:prstGeom prst="rect">
          <a:avLst/>
        </a:prstGeom>
        <a:noFill/>
        <a:ln w="9525">
          <a:noFill/>
          <a:miter lim="800000"/>
          <a:headEnd/>
          <a:tailEnd/>
        </a:ln>
      </xdr:spPr>
    </xdr:pic>
    <xdr:clientData/>
  </xdr:twoCellAnchor>
  <xdr:twoCellAnchor>
    <xdr:from>
      <xdr:col>12</xdr:col>
      <xdr:colOff>9525</xdr:colOff>
      <xdr:row>10</xdr:row>
      <xdr:rowOff>0</xdr:rowOff>
    </xdr:from>
    <xdr:to>
      <xdr:col>14</xdr:col>
      <xdr:colOff>1009650</xdr:colOff>
      <xdr:row>12</xdr:row>
      <xdr:rowOff>485775</xdr:rowOff>
    </xdr:to>
    <xdr:cxnSp macro="">
      <xdr:nvCxnSpPr>
        <xdr:cNvPr id="61" name="Conector recto de flecha 60">
          <a:extLst>
            <a:ext uri="{FF2B5EF4-FFF2-40B4-BE49-F238E27FC236}">
              <a16:creationId xmlns:a16="http://schemas.microsoft.com/office/drawing/2014/main" xmlns="" id="{00000000-0008-0000-0300-00003D000000}"/>
            </a:ext>
          </a:extLst>
        </xdr:cNvPr>
        <xdr:cNvCxnSpPr/>
      </xdr:nvCxnSpPr>
      <xdr:spPr>
        <a:xfrm flipV="1">
          <a:off x="12582525" y="5124450"/>
          <a:ext cx="3095625" cy="151447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336096</xdr:colOff>
      <xdr:row>55</xdr:row>
      <xdr:rowOff>196169</xdr:rowOff>
    </xdr:from>
    <xdr:to>
      <xdr:col>9</xdr:col>
      <xdr:colOff>212271</xdr:colOff>
      <xdr:row>57</xdr:row>
      <xdr:rowOff>21318</xdr:rowOff>
    </xdr:to>
    <xdr:pic>
      <xdr:nvPicPr>
        <xdr:cNvPr id="2" name="Imagen 1">
          <a:extLst>
            <a:ext uri="{FF2B5EF4-FFF2-40B4-BE49-F238E27FC236}">
              <a16:creationId xmlns:a16="http://schemas.microsoft.com/office/drawing/2014/main" xmlns="" id="{00000000-0008-0000-0400-000002000000}"/>
            </a:ext>
          </a:extLst>
        </xdr:cNvPr>
        <xdr:cNvPicPr/>
      </xdr:nvPicPr>
      <xdr:blipFill rotWithShape="1">
        <a:blip xmlns:r="http://schemas.openxmlformats.org/officeDocument/2006/relationships" r:embed="rId1"/>
        <a:srcRect l="6907" t="24203" r="3198" b="66560"/>
        <a:stretch/>
      </xdr:blipFill>
      <xdr:spPr bwMode="auto">
        <a:xfrm>
          <a:off x="336096" y="11405053"/>
          <a:ext cx="5233988" cy="454479"/>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55109</xdr:colOff>
      <xdr:row>63</xdr:row>
      <xdr:rowOff>42862</xdr:rowOff>
    </xdr:from>
    <xdr:to>
      <xdr:col>1</xdr:col>
      <xdr:colOff>274184</xdr:colOff>
      <xdr:row>64</xdr:row>
      <xdr:rowOff>93549</xdr:rowOff>
    </xdr:to>
    <xdr:pic>
      <xdr:nvPicPr>
        <xdr:cNvPr id="3" name="Imagen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471828" y="13114224"/>
          <a:ext cx="219075" cy="263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66</xdr:row>
      <xdr:rowOff>0</xdr:rowOff>
    </xdr:from>
    <xdr:ext cx="325755" cy="218795"/>
    <xdr:pic>
      <xdr:nvPicPr>
        <xdr:cNvPr id="4" name="Imagen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428625" y="13068300"/>
          <a:ext cx="325755" cy="218795"/>
        </a:xfrm>
        <a:prstGeom prst="rect">
          <a:avLst/>
        </a:prstGeom>
        <a:noFill/>
        <a:ln>
          <a:noFill/>
        </a:ln>
      </xdr:spPr>
    </xdr:pic>
    <xdr:clientData/>
  </xdr:oneCellAnchor>
  <xdr:oneCellAnchor>
    <xdr:from>
      <xdr:col>1</xdr:col>
      <xdr:colOff>0</xdr:colOff>
      <xdr:row>68</xdr:row>
      <xdr:rowOff>59532</xdr:rowOff>
    </xdr:from>
    <xdr:ext cx="325755" cy="238124"/>
    <xdr:pic>
      <xdr:nvPicPr>
        <xdr:cNvPr id="5" name="Imagen 4">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416719" y="14193952"/>
          <a:ext cx="325755" cy="238124"/>
        </a:xfrm>
        <a:prstGeom prst="rect">
          <a:avLst/>
        </a:prstGeom>
        <a:noFill/>
        <a:ln>
          <a:noFill/>
        </a:ln>
      </xdr:spPr>
    </xdr:pic>
    <xdr:clientData/>
  </xdr:oneCellAnchor>
  <xdr:oneCellAnchor>
    <xdr:from>
      <xdr:col>1</xdr:col>
      <xdr:colOff>19049</xdr:colOff>
      <xdr:row>71</xdr:row>
      <xdr:rowOff>0</xdr:rowOff>
    </xdr:from>
    <xdr:ext cx="314325" cy="262468"/>
    <xdr:pic>
      <xdr:nvPicPr>
        <xdr:cNvPr id="6" name="Imagen 5">
          <a:extLst>
            <a:ext uri="{FF2B5EF4-FFF2-40B4-BE49-F238E27FC236}">
              <a16:creationId xmlns:a16="http://schemas.microsoft.com/office/drawing/2014/main" xmlns="" id="{00000000-0008-0000-0400-000006000000}"/>
            </a:ext>
          </a:extLst>
        </xdr:cNvPr>
        <xdr:cNvPicPr/>
      </xdr:nvPicPr>
      <xdr:blipFill rotWithShape="1">
        <a:blip xmlns:r="http://schemas.openxmlformats.org/officeDocument/2006/relationships" r:embed="rId1"/>
        <a:srcRect l="30917" t="27092" r="66112" b="66954"/>
        <a:stretch/>
      </xdr:blipFill>
      <xdr:spPr bwMode="auto">
        <a:xfrm>
          <a:off x="438149" y="13906500"/>
          <a:ext cx="314325" cy="262468"/>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73</xdr:row>
      <xdr:rowOff>0</xdr:rowOff>
    </xdr:from>
    <xdr:to>
      <xdr:col>1</xdr:col>
      <xdr:colOff>304800</xdr:colOff>
      <xdr:row>74</xdr:row>
      <xdr:rowOff>9525</xdr:rowOff>
    </xdr:to>
    <xdr:pic>
      <xdr:nvPicPr>
        <xdr:cNvPr id="7" name="Imagen 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419100" y="14325600"/>
          <a:ext cx="304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400051</xdr:colOff>
      <xdr:row>74</xdr:row>
      <xdr:rowOff>123825</xdr:rowOff>
    </xdr:from>
    <xdr:ext cx="409574" cy="322791"/>
    <xdr:pic>
      <xdr:nvPicPr>
        <xdr:cNvPr id="8" name="Imagen 7">
          <a:extLst>
            <a:ext uri="{FF2B5EF4-FFF2-40B4-BE49-F238E27FC236}">
              <a16:creationId xmlns:a16="http://schemas.microsoft.com/office/drawing/2014/main" xmlns=""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400051" y="14658975"/>
          <a:ext cx="409574" cy="322791"/>
        </a:xfrm>
        <a:prstGeom prst="rect">
          <a:avLst/>
        </a:prstGeom>
        <a:noFill/>
        <a:ln>
          <a:noFill/>
        </a:ln>
      </xdr:spPr>
    </xdr:pic>
    <xdr:clientData/>
  </xdr:oneCellAnchor>
  <xdr:oneCellAnchor>
    <xdr:from>
      <xdr:col>1</xdr:col>
      <xdr:colOff>28576</xdr:colOff>
      <xdr:row>77</xdr:row>
      <xdr:rowOff>9525</xdr:rowOff>
    </xdr:from>
    <xdr:ext cx="353060" cy="195792"/>
    <xdr:pic>
      <xdr:nvPicPr>
        <xdr:cNvPr id="9" name="Imagen 8">
          <a:extLst>
            <a:ext uri="{FF2B5EF4-FFF2-40B4-BE49-F238E27FC236}">
              <a16:creationId xmlns:a16="http://schemas.microsoft.com/office/drawing/2014/main" xmlns="" id="{00000000-0008-0000-04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447676" y="15173325"/>
          <a:ext cx="353060" cy="195792"/>
        </a:xfrm>
        <a:prstGeom prst="rect">
          <a:avLst/>
        </a:prstGeom>
        <a:noFill/>
        <a:ln>
          <a:noFill/>
        </a:ln>
      </xdr:spPr>
    </xdr:pic>
    <xdr:clientData/>
  </xdr:oneCellAnchor>
  <xdr:oneCellAnchor>
    <xdr:from>
      <xdr:col>1</xdr:col>
      <xdr:colOff>66676</xdr:colOff>
      <xdr:row>78</xdr:row>
      <xdr:rowOff>200025</xdr:rowOff>
    </xdr:from>
    <xdr:ext cx="171450" cy="190499"/>
    <xdr:pic>
      <xdr:nvPicPr>
        <xdr:cNvPr id="10" name="Imagen 9">
          <a:extLst>
            <a:ext uri="{FF2B5EF4-FFF2-40B4-BE49-F238E27FC236}">
              <a16:creationId xmlns:a16="http://schemas.microsoft.com/office/drawing/2014/main" xmlns=""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485776" y="15573375"/>
          <a:ext cx="171450" cy="190499"/>
        </a:xfrm>
        <a:prstGeom prst="rect">
          <a:avLst/>
        </a:prstGeom>
        <a:noFill/>
        <a:ln>
          <a:noFill/>
        </a:ln>
      </xdr:spPr>
    </xdr:pic>
    <xdr:clientData/>
  </xdr:oneCellAnchor>
  <xdr:oneCellAnchor>
    <xdr:from>
      <xdr:col>0</xdr:col>
      <xdr:colOff>409575</xdr:colOff>
      <xdr:row>60</xdr:row>
      <xdr:rowOff>190501</xdr:rowOff>
    </xdr:from>
    <xdr:ext cx="304800" cy="244474"/>
    <xdr:pic>
      <xdr:nvPicPr>
        <xdr:cNvPr id="11" name="Imagen 10">
          <a:extLst>
            <a:ext uri="{FF2B5EF4-FFF2-40B4-BE49-F238E27FC236}">
              <a16:creationId xmlns:a16="http://schemas.microsoft.com/office/drawing/2014/main" xmlns="" id="{00000000-0008-0000-0400-00000B000000}"/>
            </a:ext>
          </a:extLst>
        </xdr:cNvPr>
        <xdr:cNvPicPr/>
      </xdr:nvPicPr>
      <xdr:blipFill rotWithShape="1">
        <a:blip xmlns:r="http://schemas.openxmlformats.org/officeDocument/2006/relationships" r:embed="rId1"/>
        <a:srcRect l="6276" t="26472" r="90088" b="67694"/>
        <a:stretch/>
      </xdr:blipFill>
      <xdr:spPr bwMode="auto">
        <a:xfrm>
          <a:off x="409575" y="12211051"/>
          <a:ext cx="304800" cy="2444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84</xdr:row>
      <xdr:rowOff>85725</xdr:rowOff>
    </xdr:from>
    <xdr:ext cx="378459" cy="407318"/>
    <xdr:pic>
      <xdr:nvPicPr>
        <xdr:cNvPr id="12" name="Imagen 11">
          <a:extLst>
            <a:ext uri="{FF2B5EF4-FFF2-40B4-BE49-F238E27FC236}">
              <a16:creationId xmlns:a16="http://schemas.microsoft.com/office/drawing/2014/main" xmlns="" id="{00000000-0008-0000-0400-00000C000000}"/>
            </a:ext>
          </a:extLst>
        </xdr:cNvPr>
        <xdr:cNvPicPr/>
      </xdr:nvPicPr>
      <xdr:blipFill rotWithShape="1">
        <a:blip xmlns:r="http://schemas.openxmlformats.org/officeDocument/2006/relationships" r:embed="rId1"/>
        <a:srcRect l="90522" t="25661" r="3198" b="67370"/>
        <a:stretch/>
      </xdr:blipFill>
      <xdr:spPr bwMode="auto">
        <a:xfrm>
          <a:off x="428625" y="16716375"/>
          <a:ext cx="378459" cy="40731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80</xdr:row>
      <xdr:rowOff>142874</xdr:rowOff>
    </xdr:from>
    <xdr:ext cx="390525" cy="322793"/>
    <xdr:pic>
      <xdr:nvPicPr>
        <xdr:cNvPr id="13" name="Imagen 12">
          <a:extLst>
            <a:ext uri="{FF2B5EF4-FFF2-40B4-BE49-F238E27FC236}">
              <a16:creationId xmlns:a16="http://schemas.microsoft.com/office/drawing/2014/main" xmlns="" id="{00000000-0008-0000-0400-00000D000000}"/>
            </a:ext>
          </a:extLst>
        </xdr:cNvPr>
        <xdr:cNvPicPr/>
      </xdr:nvPicPr>
      <xdr:blipFill rotWithShape="1">
        <a:blip xmlns:r="http://schemas.openxmlformats.org/officeDocument/2006/relationships" r:embed="rId1"/>
        <a:srcRect l="73767" t="26471" r="19752" b="66560"/>
        <a:stretch/>
      </xdr:blipFill>
      <xdr:spPr bwMode="auto">
        <a:xfrm>
          <a:off x="428625" y="15935324"/>
          <a:ext cx="390525" cy="32279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19050</xdr:colOff>
      <xdr:row>82</xdr:row>
      <xdr:rowOff>123825</xdr:rowOff>
    </xdr:from>
    <xdr:ext cx="400050" cy="304800"/>
    <xdr:pic>
      <xdr:nvPicPr>
        <xdr:cNvPr id="14" name="Imagen 13">
          <a:extLst>
            <a:ext uri="{FF2B5EF4-FFF2-40B4-BE49-F238E27FC236}">
              <a16:creationId xmlns:a16="http://schemas.microsoft.com/office/drawing/2014/main" xmlns="" id="{00000000-0008-0000-0400-00000E000000}"/>
            </a:ext>
          </a:extLst>
        </xdr:cNvPr>
        <xdr:cNvPicPr/>
      </xdr:nvPicPr>
      <xdr:blipFill rotWithShape="1">
        <a:blip xmlns:r="http://schemas.openxmlformats.org/officeDocument/2006/relationships" r:embed="rId1"/>
        <a:srcRect l="82144" t="25661" r="11217" b="67371"/>
        <a:stretch/>
      </xdr:blipFill>
      <xdr:spPr bwMode="auto">
        <a:xfrm>
          <a:off x="438150" y="16335375"/>
          <a:ext cx="400050" cy="3048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191"/>
  <sheetViews>
    <sheetView showGridLines="0" view="pageBreakPreview" topLeftCell="A19" zoomScale="80" zoomScaleNormal="50" zoomScaleSheetLayoutView="80" workbookViewId="0">
      <selection activeCell="B15" sqref="B15:N16"/>
    </sheetView>
  </sheetViews>
  <sheetFormatPr baseColWidth="10" defaultColWidth="15.7109375" defaultRowHeight="35.1" customHeight="1" x14ac:dyDescent="0.2"/>
  <cols>
    <col min="1" max="4" width="15.7109375" style="700"/>
    <col min="5" max="5" width="19.140625" style="700" customWidth="1"/>
    <col min="6" max="9" width="15.7109375" style="700"/>
    <col min="10" max="11" width="16.5703125" style="700" customWidth="1"/>
    <col min="12" max="12" width="20.42578125" style="700" customWidth="1"/>
    <col min="13" max="14" width="16.5703125" style="700" customWidth="1"/>
    <col min="15" max="15" width="15.7109375" style="700"/>
    <col min="16" max="19" width="16.5703125" style="700" customWidth="1"/>
    <col min="20" max="22" width="15.7109375" style="704"/>
    <col min="23" max="23" width="16.5703125" style="704" customWidth="1"/>
    <col min="24" max="24" width="11.7109375" style="704" customWidth="1"/>
    <col min="25" max="25" width="18.28515625" style="704" customWidth="1"/>
    <col min="26" max="28" width="16" style="704" customWidth="1"/>
    <col min="29" max="33" width="16" style="700" customWidth="1"/>
    <col min="34" max="40" width="20.7109375" style="700" customWidth="1"/>
    <col min="41" max="42" width="15.7109375" style="700"/>
    <col min="43" max="43" width="15.7109375" style="703"/>
    <col min="44" max="45" width="15.7109375" style="700"/>
    <col min="46" max="56" width="16" style="700" customWidth="1"/>
    <col min="57" max="58" width="16" style="700" bestFit="1" customWidth="1"/>
    <col min="59" max="16384" width="15.7109375" style="700"/>
  </cols>
  <sheetData>
    <row r="1" spans="1:94" ht="80.099999999999994" customHeight="1" thickBot="1" x14ac:dyDescent="0.25">
      <c r="A1" s="697"/>
      <c r="B1" s="697"/>
      <c r="C1" s="698"/>
      <c r="D1" s="699"/>
      <c r="E1" s="1142" t="s">
        <v>437</v>
      </c>
      <c r="F1" s="1143"/>
      <c r="G1" s="1143"/>
      <c r="H1" s="1143"/>
      <c r="I1" s="1143"/>
      <c r="J1" s="1143"/>
      <c r="K1" s="1143"/>
      <c r="L1" s="1143"/>
      <c r="M1" s="1144"/>
      <c r="N1" s="697"/>
      <c r="P1" s="697"/>
      <c r="Q1" s="697"/>
      <c r="R1" s="701"/>
      <c r="S1" s="701"/>
      <c r="T1" s="701"/>
      <c r="U1" s="701"/>
      <c r="V1" s="701"/>
      <c r="W1" s="701"/>
      <c r="X1" s="701"/>
      <c r="Y1" s="701"/>
      <c r="Z1" s="701"/>
      <c r="AA1" s="701"/>
      <c r="AB1" s="701"/>
      <c r="AC1" s="701"/>
      <c r="AD1" s="701"/>
      <c r="AG1" s="697"/>
      <c r="AH1" s="697"/>
      <c r="AI1" s="701"/>
      <c r="AJ1" s="701"/>
      <c r="AK1" s="701"/>
      <c r="AL1" s="701"/>
      <c r="AM1" s="701"/>
      <c r="AN1" s="701"/>
      <c r="AO1" s="701"/>
      <c r="AP1" s="701"/>
      <c r="AQ1" s="702"/>
      <c r="AR1" s="701"/>
      <c r="AS1" s="701"/>
      <c r="AT1" s="701"/>
      <c r="AU1" s="701"/>
      <c r="AW1" s="697"/>
      <c r="AX1" s="697"/>
      <c r="AY1" s="701"/>
      <c r="AZ1" s="701"/>
      <c r="BA1" s="701"/>
      <c r="BB1" s="701"/>
      <c r="BC1" s="701"/>
      <c r="BD1" s="701"/>
      <c r="BE1" s="701"/>
      <c r="BF1" s="701"/>
      <c r="BG1" s="701"/>
      <c r="BH1" s="701"/>
      <c r="BI1" s="701"/>
      <c r="BJ1" s="701"/>
      <c r="BK1" s="701"/>
      <c r="BL1" s="701"/>
      <c r="BM1" s="701"/>
    </row>
    <row r="2" spans="1:94" ht="35.1" customHeight="1" x14ac:dyDescent="0.2">
      <c r="C2" s="697"/>
      <c r="T2" s="700"/>
      <c r="U2" s="700"/>
      <c r="V2" s="700"/>
      <c r="W2" s="700"/>
      <c r="X2" s="700"/>
      <c r="Y2" s="700"/>
      <c r="Z2" s="700"/>
      <c r="AA2" s="700"/>
      <c r="AB2" s="700"/>
    </row>
    <row r="3" spans="1:94" ht="35.1" customHeight="1" x14ac:dyDescent="0.2">
      <c r="T3" s="700"/>
      <c r="U3" s="700"/>
      <c r="V3" s="700"/>
      <c r="W3" s="700"/>
      <c r="X3" s="700"/>
      <c r="Y3" s="700"/>
      <c r="Z3" s="700"/>
      <c r="AA3" s="700"/>
      <c r="AB3" s="700"/>
      <c r="AH3" s="704"/>
      <c r="AI3" s="704"/>
      <c r="AJ3" s="704"/>
      <c r="AK3" s="704"/>
      <c r="AL3" s="704"/>
      <c r="AM3" s="704"/>
      <c r="AN3" s="704"/>
      <c r="AO3" s="704"/>
      <c r="AP3" s="704"/>
    </row>
    <row r="4" spans="1:94" ht="30" customHeight="1" thickBot="1" x14ac:dyDescent="0.25">
      <c r="T4" s="700"/>
      <c r="U4" s="700"/>
      <c r="V4" s="700"/>
      <c r="W4" s="700"/>
      <c r="X4" s="700"/>
      <c r="Y4" s="700"/>
      <c r="Z4" s="700"/>
      <c r="AA4" s="700"/>
      <c r="AB4" s="700"/>
      <c r="AV4" s="697"/>
      <c r="BE4" s="697"/>
    </row>
    <row r="5" spans="1:94" ht="69.95" customHeight="1" thickBot="1" x14ac:dyDescent="0.25">
      <c r="D5" s="1147" t="s">
        <v>401</v>
      </c>
      <c r="E5" s="1148"/>
      <c r="F5" s="1148"/>
      <c r="G5" s="1148"/>
      <c r="H5" s="1148"/>
      <c r="I5" s="1148"/>
      <c r="J5" s="1148"/>
      <c r="K5" s="1148"/>
      <c r="L5" s="1149"/>
      <c r="T5" s="700"/>
      <c r="U5" s="700"/>
      <c r="V5" s="700"/>
      <c r="W5" s="700"/>
      <c r="X5" s="700"/>
      <c r="Y5" s="700"/>
      <c r="Z5" s="700"/>
      <c r="AA5" s="700"/>
      <c r="AB5" s="700"/>
      <c r="AD5" s="705"/>
      <c r="AV5" s="697"/>
      <c r="BE5" s="706"/>
    </row>
    <row r="6" spans="1:94" ht="69.95" customHeight="1" thickBot="1" x14ac:dyDescent="0.3">
      <c r="D6" s="646" t="s">
        <v>308</v>
      </c>
      <c r="E6" s="645" t="s">
        <v>70</v>
      </c>
      <c r="F6" s="647" t="s">
        <v>402</v>
      </c>
      <c r="G6" s="647" t="s">
        <v>262</v>
      </c>
      <c r="H6" s="647" t="s">
        <v>32</v>
      </c>
      <c r="I6" s="647" t="s">
        <v>263</v>
      </c>
      <c r="J6" s="94" t="s">
        <v>69</v>
      </c>
      <c r="K6" s="94" t="s">
        <v>42</v>
      </c>
      <c r="L6" s="148" t="s">
        <v>264</v>
      </c>
      <c r="Q6" s="1108" t="s">
        <v>316</v>
      </c>
      <c r="R6" s="1109"/>
      <c r="S6" s="1109"/>
      <c r="T6" s="1109"/>
      <c r="U6" s="1109"/>
      <c r="V6" s="1110"/>
      <c r="W6" s="700"/>
      <c r="X6" s="700"/>
      <c r="AV6" s="697"/>
      <c r="BE6" s="697"/>
      <c r="BY6" s="707"/>
    </row>
    <row r="7" spans="1:94" ht="30" customHeight="1" thickBot="1" x14ac:dyDescent="0.25">
      <c r="D7" s="708"/>
      <c r="E7" s="709"/>
      <c r="F7" s="709"/>
      <c r="G7" s="709"/>
      <c r="H7" s="709"/>
      <c r="I7" s="709"/>
      <c r="J7" s="709"/>
      <c r="K7" s="709"/>
      <c r="L7" s="710"/>
      <c r="Q7" s="711" t="s">
        <v>308</v>
      </c>
      <c r="R7" s="1150" t="s">
        <v>320</v>
      </c>
      <c r="S7" s="1151"/>
      <c r="T7" s="1151"/>
      <c r="U7" s="1151"/>
      <c r="V7" s="1152"/>
      <c r="W7" s="700"/>
      <c r="X7" s="700"/>
      <c r="Y7" s="712"/>
      <c r="AD7" s="705"/>
      <c r="AV7" s="713"/>
      <c r="BE7" s="697"/>
    </row>
    <row r="8" spans="1:94" s="714" customFormat="1" ht="30" customHeight="1" x14ac:dyDescent="0.2">
      <c r="B8" s="700"/>
      <c r="C8" s="700"/>
      <c r="D8" s="715"/>
      <c r="E8" s="716"/>
      <c r="F8" s="717"/>
      <c r="G8" s="718"/>
      <c r="H8" s="717"/>
      <c r="I8" s="716"/>
      <c r="J8" s="716"/>
      <c r="K8" s="716"/>
      <c r="L8" s="719"/>
      <c r="M8" s="700"/>
      <c r="N8" s="700"/>
      <c r="O8" s="700"/>
      <c r="P8" s="700"/>
      <c r="Q8" s="720"/>
      <c r="R8" s="1162"/>
      <c r="S8" s="1163"/>
      <c r="T8" s="1153"/>
      <c r="U8" s="1154"/>
      <c r="V8" s="1155"/>
      <c r="W8" s="700"/>
      <c r="X8" s="700"/>
      <c r="Y8" s="700"/>
      <c r="AC8" s="700"/>
      <c r="AD8" s="700"/>
      <c r="AE8" s="700"/>
      <c r="AF8" s="700"/>
      <c r="AG8" s="700"/>
      <c r="AH8" s="700"/>
      <c r="AI8" s="700"/>
      <c r="AJ8" s="700"/>
      <c r="AV8" s="713"/>
      <c r="BE8" s="713"/>
      <c r="BZ8" s="700"/>
      <c r="CA8" s="700"/>
      <c r="CB8" s="700"/>
      <c r="CC8" s="700"/>
      <c r="CD8" s="700"/>
      <c r="CE8" s="700"/>
      <c r="CF8" s="700"/>
      <c r="CG8" s="700"/>
      <c r="CH8" s="700"/>
      <c r="CI8" s="700"/>
      <c r="CJ8" s="700"/>
      <c r="CK8" s="700"/>
      <c r="CL8" s="700"/>
      <c r="CM8" s="700"/>
      <c r="CN8" s="700"/>
      <c r="CO8" s="700"/>
      <c r="CP8" s="700"/>
    </row>
    <row r="9" spans="1:94" s="714" customFormat="1" ht="30" customHeight="1" thickBot="1" x14ac:dyDescent="0.25">
      <c r="B9" s="700"/>
      <c r="C9" s="700"/>
      <c r="D9" s="721"/>
      <c r="E9" s="722"/>
      <c r="F9" s="723"/>
      <c r="G9" s="722"/>
      <c r="H9" s="723"/>
      <c r="I9" s="722"/>
      <c r="J9" s="722"/>
      <c r="K9" s="722"/>
      <c r="L9" s="724"/>
      <c r="M9" s="700"/>
      <c r="N9" s="700"/>
      <c r="O9" s="700"/>
      <c r="P9" s="700"/>
      <c r="Q9" s="725" t="s">
        <v>397</v>
      </c>
      <c r="R9" s="726" t="s">
        <v>319</v>
      </c>
      <c r="S9" s="727"/>
      <c r="T9" s="728" t="s">
        <v>395</v>
      </c>
      <c r="U9" s="729"/>
      <c r="V9" s="730"/>
      <c r="W9" s="700"/>
      <c r="X9" s="700"/>
      <c r="AC9" s="700"/>
      <c r="AD9" s="705"/>
      <c r="AE9" s="700"/>
      <c r="AF9" s="700"/>
      <c r="AG9" s="700"/>
      <c r="AH9" s="700"/>
      <c r="AI9" s="700"/>
      <c r="AJ9" s="700"/>
      <c r="AV9" s="713"/>
      <c r="BE9" s="713"/>
      <c r="BZ9" s="700"/>
      <c r="CA9" s="700"/>
      <c r="CB9" s="700"/>
      <c r="CC9" s="700"/>
      <c r="CD9" s="700"/>
      <c r="CE9" s="700"/>
      <c r="CF9" s="700"/>
      <c r="CG9" s="700"/>
      <c r="CH9" s="700"/>
      <c r="CI9" s="700"/>
      <c r="CJ9" s="700"/>
      <c r="CK9" s="700"/>
      <c r="CL9" s="700"/>
      <c r="CM9" s="700"/>
      <c r="CN9" s="700"/>
      <c r="CO9" s="700"/>
      <c r="CP9" s="700"/>
    </row>
    <row r="10" spans="1:94" s="714" customFormat="1" ht="30" customHeight="1" thickBot="1" x14ac:dyDescent="0.25">
      <c r="B10" s="700"/>
      <c r="C10" s="700"/>
      <c r="D10" s="731"/>
      <c r="E10" s="732"/>
      <c r="F10" s="733"/>
      <c r="G10" s="732"/>
      <c r="H10" s="733"/>
      <c r="I10" s="731"/>
      <c r="J10" s="731"/>
      <c r="K10" s="731"/>
      <c r="L10" s="731"/>
      <c r="M10" s="700"/>
      <c r="N10" s="700"/>
      <c r="O10" s="700"/>
      <c r="P10" s="700"/>
      <c r="Q10" s="725" t="s">
        <v>398</v>
      </c>
      <c r="R10" s="726" t="s">
        <v>227</v>
      </c>
      <c r="S10" s="727"/>
      <c r="T10" s="727" t="s">
        <v>396</v>
      </c>
      <c r="U10" s="727"/>
      <c r="V10" s="734"/>
      <c r="W10" s="700"/>
      <c r="X10" s="700"/>
      <c r="AC10" s="700"/>
      <c r="AD10" s="700"/>
      <c r="AE10" s="700"/>
      <c r="AF10" s="700"/>
      <c r="AG10" s="700"/>
      <c r="AH10" s="700"/>
      <c r="AI10" s="700"/>
      <c r="AJ10" s="700"/>
      <c r="AV10" s="713"/>
      <c r="BE10" s="713"/>
      <c r="BZ10" s="700"/>
      <c r="CA10" s="700"/>
      <c r="CB10" s="700"/>
      <c r="CC10" s="700"/>
      <c r="CD10" s="700"/>
      <c r="CE10" s="700"/>
      <c r="CF10" s="700"/>
      <c r="CG10" s="700"/>
      <c r="CH10" s="700"/>
      <c r="CI10" s="700"/>
      <c r="CJ10" s="700"/>
      <c r="CK10" s="700"/>
      <c r="CL10" s="700"/>
      <c r="CM10" s="700"/>
      <c r="CN10" s="700"/>
      <c r="CO10" s="700"/>
      <c r="CP10" s="700"/>
    </row>
    <row r="11" spans="1:94" s="714" customFormat="1" ht="30" customHeight="1" x14ac:dyDescent="0.2">
      <c r="B11" s="1102" t="s">
        <v>403</v>
      </c>
      <c r="C11" s="1103"/>
      <c r="D11" s="1103"/>
      <c r="E11" s="1103"/>
      <c r="F11" s="1103"/>
      <c r="G11" s="1103"/>
      <c r="H11" s="1103"/>
      <c r="I11" s="1103"/>
      <c r="J11" s="1103"/>
      <c r="K11" s="1103"/>
      <c r="L11" s="1103"/>
      <c r="M11" s="1103"/>
      <c r="N11" s="1104"/>
      <c r="O11" s="700"/>
      <c r="P11" s="700"/>
      <c r="Q11" s="725" t="s">
        <v>399</v>
      </c>
      <c r="R11" s="726" t="s">
        <v>318</v>
      </c>
      <c r="S11" s="727"/>
      <c r="T11" s="1091" t="s">
        <v>434</v>
      </c>
      <c r="U11" s="1091"/>
      <c r="V11" s="1092"/>
      <c r="W11" s="700"/>
      <c r="X11" s="700"/>
      <c r="AC11" s="700"/>
      <c r="AD11" s="705"/>
      <c r="AE11" s="700"/>
      <c r="AF11" s="700"/>
      <c r="AG11" s="700"/>
      <c r="AH11" s="700"/>
      <c r="AI11" s="700"/>
      <c r="AJ11" s="700"/>
      <c r="AV11" s="713"/>
      <c r="BE11" s="713"/>
      <c r="BZ11" s="700"/>
      <c r="CA11" s="700"/>
      <c r="CB11" s="700"/>
      <c r="CC11" s="700"/>
      <c r="CD11" s="700"/>
      <c r="CE11" s="700"/>
      <c r="CF11" s="700"/>
      <c r="CG11" s="700"/>
      <c r="CH11" s="700"/>
      <c r="CI11" s="700"/>
      <c r="CJ11" s="700"/>
      <c r="CK11" s="700"/>
      <c r="CL11" s="700"/>
      <c r="CM11" s="700"/>
      <c r="CN11" s="700"/>
      <c r="CO11" s="700"/>
      <c r="CP11" s="700"/>
    </row>
    <row r="12" spans="1:94" s="714" customFormat="1" ht="30" customHeight="1" thickBot="1" x14ac:dyDescent="0.25">
      <c r="B12" s="1105"/>
      <c r="C12" s="1106"/>
      <c r="D12" s="1106"/>
      <c r="E12" s="1106"/>
      <c r="F12" s="1106"/>
      <c r="G12" s="1106"/>
      <c r="H12" s="1106"/>
      <c r="I12" s="1106"/>
      <c r="J12" s="1106"/>
      <c r="K12" s="1106"/>
      <c r="L12" s="1106"/>
      <c r="M12" s="1106"/>
      <c r="N12" s="1107"/>
      <c r="O12" s="700"/>
      <c r="P12" s="700"/>
      <c r="Q12" s="735" t="s">
        <v>400</v>
      </c>
      <c r="R12" s="736" t="s">
        <v>317</v>
      </c>
      <c r="S12" s="737"/>
      <c r="T12" s="1093" t="s">
        <v>435</v>
      </c>
      <c r="U12" s="1093"/>
      <c r="V12" s="1094"/>
      <c r="W12" s="700"/>
      <c r="X12" s="700"/>
      <c r="Y12" s="713"/>
      <c r="AC12" s="700"/>
      <c r="AD12" s="700"/>
      <c r="AE12" s="700"/>
      <c r="AF12" s="700"/>
      <c r="AG12" s="700"/>
      <c r="AH12" s="700"/>
      <c r="AI12" s="700"/>
      <c r="AJ12" s="700"/>
      <c r="AV12" s="697"/>
      <c r="BE12" s="713"/>
      <c r="BZ12" s="700"/>
      <c r="CA12" s="700"/>
      <c r="CB12" s="700"/>
      <c r="CC12" s="700"/>
      <c r="CD12" s="700"/>
      <c r="CE12" s="700"/>
      <c r="CF12" s="700"/>
      <c r="CG12" s="700"/>
      <c r="CH12" s="700"/>
      <c r="CI12" s="700"/>
      <c r="CJ12" s="700"/>
      <c r="CK12" s="700"/>
      <c r="CL12" s="700"/>
      <c r="CM12" s="700"/>
      <c r="CN12" s="700"/>
      <c r="CO12" s="700"/>
      <c r="CP12" s="700"/>
    </row>
    <row r="13" spans="1:94" ht="80.099999999999994" customHeight="1" thickBot="1" x14ac:dyDescent="0.25">
      <c r="B13" s="592" t="s">
        <v>308</v>
      </c>
      <c r="C13" s="148" t="s">
        <v>55</v>
      </c>
      <c r="D13" s="148" t="s">
        <v>56</v>
      </c>
      <c r="E13" s="148" t="s">
        <v>273</v>
      </c>
      <c r="F13" s="148" t="s">
        <v>312</v>
      </c>
      <c r="G13" s="148" t="s">
        <v>476</v>
      </c>
      <c r="H13" s="607" t="s">
        <v>311</v>
      </c>
      <c r="I13" s="148" t="s">
        <v>313</v>
      </c>
      <c r="J13" s="148" t="s">
        <v>310</v>
      </c>
      <c r="K13" s="148" t="s">
        <v>309</v>
      </c>
      <c r="L13" s="148" t="s">
        <v>314</v>
      </c>
      <c r="M13" s="148" t="s">
        <v>315</v>
      </c>
      <c r="N13" s="148" t="s">
        <v>404</v>
      </c>
      <c r="W13" s="700"/>
      <c r="X13" s="700"/>
      <c r="Y13" s="714"/>
      <c r="AD13" s="705"/>
      <c r="AV13" s="697"/>
      <c r="BE13" s="697"/>
    </row>
    <row r="14" spans="1:94" ht="30" customHeight="1" thickBot="1" x14ac:dyDescent="0.25">
      <c r="B14" s="708"/>
      <c r="C14" s="738"/>
      <c r="D14" s="738"/>
      <c r="E14" s="738"/>
      <c r="F14" s="738"/>
      <c r="G14" s="738"/>
      <c r="H14" s="739"/>
      <c r="I14" s="738"/>
      <c r="J14" s="738"/>
      <c r="K14" s="738"/>
      <c r="L14" s="738"/>
      <c r="M14" s="738"/>
      <c r="N14" s="740"/>
      <c r="Q14" s="1095"/>
      <c r="R14" s="1095"/>
      <c r="S14" s="1095"/>
      <c r="T14" s="1095"/>
      <c r="U14" s="1095"/>
      <c r="V14" s="1095"/>
      <c r="W14" s="700"/>
      <c r="X14" s="700"/>
      <c r="Y14" s="700"/>
      <c r="AV14" s="697"/>
      <c r="BE14" s="697"/>
    </row>
    <row r="15" spans="1:94" ht="30" customHeight="1" thickBot="1" x14ac:dyDescent="0.25">
      <c r="B15" s="715"/>
      <c r="C15" s="718"/>
      <c r="D15" s="741"/>
      <c r="E15" s="718"/>
      <c r="F15" s="742"/>
      <c r="G15" s="743"/>
      <c r="H15" s="744"/>
      <c r="I15" s="744"/>
      <c r="J15" s="745"/>
      <c r="K15" s="743"/>
      <c r="L15" s="746"/>
      <c r="M15" s="745"/>
      <c r="N15" s="719"/>
      <c r="Q15" s="1108" t="s">
        <v>330</v>
      </c>
      <c r="R15" s="1109"/>
      <c r="S15" s="1110"/>
      <c r="T15" s="712"/>
      <c r="U15" s="1108" t="s">
        <v>436</v>
      </c>
      <c r="V15" s="1109"/>
      <c r="W15" s="1109"/>
      <c r="X15" s="1110"/>
      <c r="Y15" s="700"/>
      <c r="AD15" s="705"/>
      <c r="AV15" s="697"/>
      <c r="BE15" s="697"/>
    </row>
    <row r="16" spans="1:94" ht="30" customHeight="1" thickBot="1" x14ac:dyDescent="0.25">
      <c r="B16" s="721"/>
      <c r="C16" s="722"/>
      <c r="D16" s="722"/>
      <c r="E16" s="722"/>
      <c r="F16" s="722"/>
      <c r="G16" s="722"/>
      <c r="H16" s="722"/>
      <c r="I16" s="722"/>
      <c r="J16" s="722"/>
      <c r="K16" s="722"/>
      <c r="L16" s="722"/>
      <c r="M16" s="722"/>
      <c r="N16" s="724"/>
      <c r="Q16" s="1156" t="s">
        <v>487</v>
      </c>
      <c r="R16" s="1157"/>
      <c r="S16" s="1158"/>
      <c r="T16" s="712"/>
      <c r="U16" s="1113" t="s">
        <v>378</v>
      </c>
      <c r="V16" s="1114"/>
      <c r="W16" s="1114"/>
      <c r="X16" s="1115"/>
      <c r="Y16" s="700"/>
      <c r="AV16" s="697"/>
      <c r="BE16" s="697"/>
    </row>
    <row r="17" spans="1:58" ht="30" customHeight="1" x14ac:dyDescent="0.2">
      <c r="B17" s="697"/>
      <c r="C17" s="697"/>
      <c r="D17" s="731"/>
      <c r="E17" s="732"/>
      <c r="F17" s="747"/>
      <c r="G17" s="732"/>
      <c r="H17" s="747"/>
      <c r="I17" s="732"/>
      <c r="J17" s="732"/>
      <c r="K17" s="732"/>
      <c r="L17" s="732"/>
      <c r="Q17" s="720" t="s">
        <v>308</v>
      </c>
      <c r="R17" s="748" t="s">
        <v>488</v>
      </c>
      <c r="S17" s="749" t="s">
        <v>333</v>
      </c>
      <c r="T17" s="712"/>
      <c r="U17" s="750">
        <v>18501</v>
      </c>
      <c r="V17" s="751" t="s">
        <v>379</v>
      </c>
      <c r="W17" s="751">
        <v>19336.599999999999</v>
      </c>
      <c r="X17" s="752" t="s">
        <v>4</v>
      </c>
      <c r="Y17" s="712"/>
      <c r="Z17" s="712"/>
      <c r="AA17" s="712"/>
      <c r="AB17" s="712"/>
      <c r="AD17" s="705"/>
      <c r="AV17" s="697"/>
      <c r="BE17" s="697"/>
    </row>
    <row r="18" spans="1:58" ht="30" customHeight="1" x14ac:dyDescent="0.2">
      <c r="B18" s="697"/>
      <c r="C18" s="697"/>
      <c r="D18" s="731"/>
      <c r="E18" s="732"/>
      <c r="F18" s="747"/>
      <c r="G18" s="732"/>
      <c r="H18" s="747"/>
      <c r="I18" s="732"/>
      <c r="J18" s="732"/>
      <c r="K18" s="732"/>
      <c r="L18" s="732"/>
      <c r="Q18" s="753"/>
      <c r="R18" s="754"/>
      <c r="S18" s="755"/>
      <c r="T18" s="712"/>
      <c r="U18" s="756">
        <v>1128.29</v>
      </c>
      <c r="V18" s="744" t="s">
        <v>379</v>
      </c>
      <c r="W18" s="744">
        <v>1179.99</v>
      </c>
      <c r="X18" s="757" t="s">
        <v>489</v>
      </c>
      <c r="Y18" s="712"/>
      <c r="Z18" s="712"/>
      <c r="AA18" s="712"/>
      <c r="AB18" s="712"/>
      <c r="AV18" s="697"/>
      <c r="BE18" s="697"/>
    </row>
    <row r="19" spans="1:58" ht="30" customHeight="1" thickBot="1" x14ac:dyDescent="0.25">
      <c r="B19" s="697"/>
      <c r="C19" s="697"/>
      <c r="D19" s="731"/>
      <c r="E19" s="732"/>
      <c r="F19" s="747"/>
      <c r="G19" s="732"/>
      <c r="H19" s="747"/>
      <c r="I19" s="732"/>
      <c r="J19" s="732"/>
      <c r="K19" s="732"/>
      <c r="L19" s="732"/>
      <c r="Q19" s="725" t="s">
        <v>490</v>
      </c>
      <c r="R19" s="758">
        <v>0.25</v>
      </c>
      <c r="S19" s="759">
        <v>80</v>
      </c>
      <c r="T19" s="712"/>
      <c r="U19" s="760">
        <v>4.8917000000000002</v>
      </c>
      <c r="V19" s="761" t="s">
        <v>379</v>
      </c>
      <c r="W19" s="761">
        <v>5.1082000000000001</v>
      </c>
      <c r="X19" s="762" t="s">
        <v>10</v>
      </c>
      <c r="AD19" s="705"/>
      <c r="AV19" s="697"/>
      <c r="AW19" s="697"/>
      <c r="AX19" s="697"/>
      <c r="AY19" s="697"/>
      <c r="AZ19" s="697"/>
      <c r="BA19" s="697"/>
      <c r="BB19" s="697"/>
      <c r="BC19" s="697"/>
      <c r="BD19" s="697"/>
      <c r="BE19" s="697"/>
    </row>
    <row r="20" spans="1:58" ht="30" customHeight="1" thickBot="1" x14ac:dyDescent="0.25">
      <c r="A20" s="763"/>
      <c r="B20" s="764"/>
      <c r="C20" s="765"/>
      <c r="D20" s="95"/>
      <c r="E20" s="95"/>
      <c r="F20" s="766"/>
      <c r="G20" s="767"/>
      <c r="H20" s="767"/>
      <c r="I20" s="767"/>
      <c r="J20" s="767"/>
      <c r="K20" s="768"/>
      <c r="L20" s="767"/>
      <c r="M20" s="767"/>
      <c r="N20" s="769"/>
      <c r="Q20" s="725" t="s">
        <v>491</v>
      </c>
      <c r="R20" s="758">
        <v>0.5</v>
      </c>
      <c r="S20" s="759">
        <v>40</v>
      </c>
      <c r="T20" s="712"/>
      <c r="U20" s="770" t="s">
        <v>308</v>
      </c>
      <c r="V20" s="770" t="s">
        <v>4</v>
      </c>
      <c r="W20" s="771" t="s">
        <v>492</v>
      </c>
      <c r="X20" s="770" t="s">
        <v>10</v>
      </c>
      <c r="AV20" s="697"/>
      <c r="AW20" s="697"/>
      <c r="AX20" s="697"/>
      <c r="AY20" s="697"/>
      <c r="AZ20" s="697"/>
      <c r="BA20" s="697"/>
      <c r="BB20" s="697"/>
      <c r="BC20" s="697"/>
      <c r="BD20" s="697"/>
      <c r="BE20" s="697"/>
    </row>
    <row r="21" spans="1:58" ht="30" customHeight="1" thickBot="1" x14ac:dyDescent="0.25">
      <c r="A21" s="772"/>
      <c r="B21" s="1159" t="s">
        <v>405</v>
      </c>
      <c r="C21" s="1160"/>
      <c r="D21" s="1160"/>
      <c r="E21" s="1160"/>
      <c r="F21" s="1160"/>
      <c r="G21" s="1160"/>
      <c r="H21" s="1160"/>
      <c r="I21" s="1160"/>
      <c r="J21" s="1160"/>
      <c r="K21" s="1160"/>
      <c r="L21" s="1160"/>
      <c r="M21" s="1161"/>
      <c r="N21" s="773"/>
      <c r="Q21" s="774" t="s">
        <v>493</v>
      </c>
      <c r="R21" s="775">
        <v>1</v>
      </c>
      <c r="S21" s="776">
        <v>20</v>
      </c>
      <c r="T21" s="712"/>
      <c r="U21" s="777"/>
      <c r="V21" s="778"/>
      <c r="W21" s="778"/>
      <c r="X21" s="779"/>
      <c r="AD21" s="705"/>
      <c r="AV21" s="697"/>
      <c r="BE21" s="697"/>
    </row>
    <row r="22" spans="1:58" ht="30" customHeight="1" thickBot="1" x14ac:dyDescent="0.25">
      <c r="A22" s="772"/>
      <c r="B22" s="697"/>
      <c r="C22" s="697"/>
      <c r="D22" s="697"/>
      <c r="E22" s="697"/>
      <c r="F22" s="697"/>
      <c r="G22" s="697"/>
      <c r="H22" s="697"/>
      <c r="I22" s="697"/>
      <c r="J22" s="697"/>
      <c r="K22" s="780"/>
      <c r="L22" s="697"/>
      <c r="M22" s="697"/>
      <c r="N22" s="773"/>
      <c r="T22" s="712"/>
      <c r="U22" s="715">
        <v>1</v>
      </c>
      <c r="V22" s="781">
        <v>6.3</v>
      </c>
      <c r="W22" s="716">
        <v>0.38</v>
      </c>
      <c r="X22" s="719">
        <v>1.6999999999999999E-3</v>
      </c>
      <c r="AV22" s="697"/>
      <c r="BE22" s="697"/>
    </row>
    <row r="23" spans="1:58" ht="69.95" customHeight="1" thickBot="1" x14ac:dyDescent="0.25">
      <c r="A23" s="772"/>
      <c r="B23" s="782" t="s">
        <v>1</v>
      </c>
      <c r="C23" s="783" t="s">
        <v>55</v>
      </c>
      <c r="D23" s="783" t="s">
        <v>56</v>
      </c>
      <c r="E23" s="783" t="s">
        <v>273</v>
      </c>
      <c r="F23" s="783" t="s">
        <v>117</v>
      </c>
      <c r="G23" s="783" t="s">
        <v>274</v>
      </c>
      <c r="H23" s="783" t="s">
        <v>120</v>
      </c>
      <c r="I23" s="783" t="s">
        <v>275</v>
      </c>
      <c r="J23" s="783" t="s">
        <v>124</v>
      </c>
      <c r="K23" s="784" t="s">
        <v>125</v>
      </c>
      <c r="L23" s="783" t="s">
        <v>126</v>
      </c>
      <c r="M23" s="785" t="s">
        <v>250</v>
      </c>
      <c r="N23" s="773"/>
      <c r="Q23" s="1156" t="s">
        <v>334</v>
      </c>
      <c r="R23" s="1157"/>
      <c r="S23" s="1158"/>
      <c r="T23" s="712"/>
      <c r="U23" s="786"/>
      <c r="V23" s="787"/>
      <c r="W23" s="788"/>
      <c r="X23" s="789"/>
      <c r="AD23" s="697"/>
      <c r="AV23" s="697"/>
      <c r="BE23" s="697"/>
    </row>
    <row r="24" spans="1:58" ht="30" customHeight="1" thickBot="1" x14ac:dyDescent="0.25">
      <c r="A24" s="772"/>
      <c r="B24" s="790"/>
      <c r="C24" s="791"/>
      <c r="D24" s="792"/>
      <c r="E24" s="792"/>
      <c r="F24" s="792"/>
      <c r="G24" s="792"/>
      <c r="H24" s="792"/>
      <c r="I24" s="792"/>
      <c r="J24" s="792"/>
      <c r="K24" s="793"/>
      <c r="L24" s="792"/>
      <c r="M24" s="794"/>
      <c r="N24" s="795"/>
      <c r="Q24" s="720" t="s">
        <v>308</v>
      </c>
      <c r="R24" s="796" t="s">
        <v>335</v>
      </c>
      <c r="S24" s="797" t="s">
        <v>264</v>
      </c>
      <c r="T24" s="712"/>
      <c r="U24" s="712"/>
      <c r="V24" s="712"/>
      <c r="W24" s="700"/>
      <c r="AD24" s="697"/>
      <c r="AV24" s="697"/>
      <c r="BE24" s="697"/>
      <c r="BF24" s="697"/>
    </row>
    <row r="25" spans="1:58" ht="30" customHeight="1" x14ac:dyDescent="0.2">
      <c r="A25" s="772"/>
      <c r="B25" s="798" t="s">
        <v>287</v>
      </c>
      <c r="C25" s="748" t="s">
        <v>112</v>
      </c>
      <c r="D25" s="748" t="s">
        <v>113</v>
      </c>
      <c r="E25" s="748" t="s">
        <v>439</v>
      </c>
      <c r="F25" s="799">
        <v>15.56</v>
      </c>
      <c r="G25" s="748">
        <v>4.9998500000000003</v>
      </c>
      <c r="H25" s="800">
        <v>4.0967700000000002</v>
      </c>
      <c r="I25" s="800">
        <v>4.0967700000000002</v>
      </c>
      <c r="J25" s="748">
        <v>4.7700000000000001E-5</v>
      </c>
      <c r="K25" s="801">
        <f>(5.49+5.5+5.51)/3</f>
        <v>5.5</v>
      </c>
      <c r="L25" s="802">
        <v>5.0000000000000001E-3</v>
      </c>
      <c r="M25" s="803">
        <v>9.9000000000000001E-6</v>
      </c>
      <c r="N25" s="773"/>
      <c r="Q25" s="725"/>
      <c r="R25" s="758"/>
      <c r="S25" s="759"/>
      <c r="T25" s="712"/>
      <c r="U25" s="712"/>
      <c r="V25" s="712"/>
      <c r="W25" s="700"/>
      <c r="X25" s="700"/>
      <c r="Y25" s="732"/>
      <c r="Z25" s="732"/>
      <c r="AA25" s="732"/>
      <c r="AB25" s="732"/>
      <c r="AC25" s="732"/>
      <c r="AD25" s="697"/>
      <c r="AV25" s="697"/>
      <c r="BE25" s="697"/>
      <c r="BF25" s="697"/>
    </row>
    <row r="26" spans="1:58" ht="30" customHeight="1" thickBot="1" x14ac:dyDescent="0.25">
      <c r="A26" s="772"/>
      <c r="B26" s="804" t="s">
        <v>288</v>
      </c>
      <c r="C26" s="805" t="s">
        <v>112</v>
      </c>
      <c r="D26" s="806" t="s">
        <v>25</v>
      </c>
      <c r="E26" s="805" t="s">
        <v>438</v>
      </c>
      <c r="F26" s="807">
        <v>20</v>
      </c>
      <c r="G26" s="805">
        <v>5</v>
      </c>
      <c r="H26" s="808">
        <v>8.1935400000000005</v>
      </c>
      <c r="I26" s="805">
        <f>H26</f>
        <v>8.1935400000000005</v>
      </c>
      <c r="J26" s="805">
        <v>4.7700000000000001E-5</v>
      </c>
      <c r="K26" s="809">
        <f>(7.29+7.26+7.25)/3</f>
        <v>7.2666666666666666</v>
      </c>
      <c r="L26" s="810">
        <v>5.0000000000000001E-3</v>
      </c>
      <c r="M26" s="811"/>
      <c r="N26" s="795"/>
      <c r="Q26" s="725">
        <v>1</v>
      </c>
      <c r="R26" s="758">
        <v>100</v>
      </c>
      <c r="S26" s="812" t="s">
        <v>265</v>
      </c>
      <c r="T26" s="712"/>
      <c r="U26" s="712"/>
      <c r="X26" s="700"/>
      <c r="Y26" s="732"/>
      <c r="Z26" s="732"/>
      <c r="AA26" s="732"/>
      <c r="AB26" s="732"/>
      <c r="AC26" s="732"/>
      <c r="AD26" s="697"/>
      <c r="AV26" s="697"/>
      <c r="BE26" s="697"/>
      <c r="BF26" s="697"/>
    </row>
    <row r="27" spans="1:58" ht="30" customHeight="1" thickBot="1" x14ac:dyDescent="0.25">
      <c r="A27" s="772"/>
      <c r="B27" s="697"/>
      <c r="C27" s="813"/>
      <c r="D27" s="813"/>
      <c r="E27" s="813"/>
      <c r="F27" s="813"/>
      <c r="G27" s="813"/>
      <c r="H27" s="813"/>
      <c r="I27" s="813"/>
      <c r="J27" s="813"/>
      <c r="K27" s="814"/>
      <c r="L27" s="813"/>
      <c r="M27" s="813"/>
      <c r="N27" s="795"/>
      <c r="Q27" s="725">
        <v>2</v>
      </c>
      <c r="R27" s="758">
        <v>500</v>
      </c>
      <c r="S27" s="812">
        <v>499.68</v>
      </c>
      <c r="T27" s="813"/>
      <c r="X27" s="700"/>
      <c r="Y27" s="732"/>
      <c r="Z27" s="732"/>
      <c r="AA27" s="732"/>
      <c r="AB27" s="732"/>
      <c r="AC27" s="732"/>
      <c r="AD27" s="697"/>
      <c r="AV27" s="697"/>
      <c r="BE27" s="697"/>
      <c r="BF27" s="697"/>
    </row>
    <row r="28" spans="1:58" ht="30" customHeight="1" thickBot="1" x14ac:dyDescent="0.25">
      <c r="A28" s="772"/>
      <c r="B28" s="1096" t="s">
        <v>350</v>
      </c>
      <c r="C28" s="1097"/>
      <c r="D28" s="1097"/>
      <c r="E28" s="1097"/>
      <c r="F28" s="1097"/>
      <c r="G28" s="1097"/>
      <c r="H28" s="1097"/>
      <c r="I28" s="1097"/>
      <c r="J28" s="1097"/>
      <c r="K28" s="1097"/>
      <c r="L28" s="1098"/>
      <c r="M28" s="813"/>
      <c r="N28" s="795"/>
      <c r="Q28" s="725">
        <v>3</v>
      </c>
      <c r="R28" s="758">
        <v>500</v>
      </c>
      <c r="S28" s="812">
        <v>500.25</v>
      </c>
      <c r="T28" s="813"/>
      <c r="X28" s="700"/>
      <c r="Y28" s="732"/>
      <c r="Z28" s="732"/>
      <c r="AA28" s="732"/>
      <c r="AB28" s="732"/>
      <c r="AC28" s="732"/>
      <c r="AD28" s="697"/>
      <c r="AV28" s="697"/>
    </row>
    <row r="29" spans="1:58" ht="60" customHeight="1" thickBot="1" x14ac:dyDescent="0.25">
      <c r="A29" s="772"/>
      <c r="B29" s="1111" t="s">
        <v>256</v>
      </c>
      <c r="C29" s="815"/>
      <c r="D29" s="816" t="s">
        <v>55</v>
      </c>
      <c r="E29" s="816" t="s">
        <v>353</v>
      </c>
      <c r="F29" s="817" t="s">
        <v>352</v>
      </c>
      <c r="G29" s="817" t="s">
        <v>244</v>
      </c>
      <c r="H29" s="817" t="s">
        <v>306</v>
      </c>
      <c r="I29" s="817" t="s">
        <v>241</v>
      </c>
      <c r="J29" s="817" t="s">
        <v>307</v>
      </c>
      <c r="K29" s="818" t="s">
        <v>243</v>
      </c>
      <c r="L29" s="819" t="s">
        <v>375</v>
      </c>
      <c r="M29" s="813"/>
      <c r="N29" s="795"/>
      <c r="Q29" s="725">
        <v>4</v>
      </c>
      <c r="R29" s="820">
        <v>500</v>
      </c>
      <c r="S29" s="812">
        <v>500.46</v>
      </c>
      <c r="T29" s="813"/>
      <c r="X29" s="700"/>
      <c r="Y29" s="732"/>
      <c r="Z29" s="732"/>
      <c r="AA29" s="732"/>
      <c r="AB29" s="732"/>
      <c r="AC29" s="732"/>
      <c r="AD29" s="697"/>
      <c r="AV29" s="697"/>
    </row>
    <row r="30" spans="1:58" ht="30" customHeight="1" x14ac:dyDescent="0.2">
      <c r="A30" s="772"/>
      <c r="B30" s="1112"/>
      <c r="C30" s="821"/>
      <c r="D30" s="822"/>
      <c r="E30" s="823"/>
      <c r="F30" s="823"/>
      <c r="G30" s="823"/>
      <c r="H30" s="823"/>
      <c r="I30" s="823"/>
      <c r="J30" s="823"/>
      <c r="K30" s="824"/>
      <c r="L30" s="825"/>
      <c r="M30" s="813"/>
      <c r="N30" s="795"/>
      <c r="Q30" s="725">
        <v>5</v>
      </c>
      <c r="R30" s="820">
        <v>500</v>
      </c>
      <c r="S30" s="812">
        <v>500.34800000000001</v>
      </c>
      <c r="T30" s="813"/>
      <c r="X30" s="700"/>
      <c r="Y30" s="732"/>
      <c r="Z30" s="732"/>
      <c r="AA30" s="732"/>
      <c r="AB30" s="732"/>
      <c r="AC30" s="732"/>
      <c r="AD30" s="697"/>
      <c r="AV30" s="697"/>
    </row>
    <row r="31" spans="1:58" ht="30" customHeight="1" thickBot="1" x14ac:dyDescent="0.25">
      <c r="A31" s="772"/>
      <c r="B31" s="1112"/>
      <c r="C31" s="826" t="s">
        <v>287</v>
      </c>
      <c r="D31" s="827" t="s">
        <v>112</v>
      </c>
      <c r="E31" s="827" t="s">
        <v>439</v>
      </c>
      <c r="F31" s="820">
        <v>18926.47</v>
      </c>
      <c r="G31" s="820">
        <v>4.0967700000000002</v>
      </c>
      <c r="H31" s="820">
        <f>F31-18927.06</f>
        <v>-0.59000000000014552</v>
      </c>
      <c r="I31" s="820">
        <v>2.7</v>
      </c>
      <c r="J31" s="820">
        <v>2.02</v>
      </c>
      <c r="K31" s="828">
        <v>42716</v>
      </c>
      <c r="L31" s="829" t="s">
        <v>373</v>
      </c>
      <c r="M31" s="813"/>
      <c r="N31" s="795"/>
      <c r="Q31" s="735">
        <v>6</v>
      </c>
      <c r="R31" s="830">
        <v>1000</v>
      </c>
      <c r="S31" s="831">
        <v>1000.625</v>
      </c>
      <c r="T31" s="712"/>
      <c r="AA31" s="732"/>
      <c r="AB31" s="732"/>
      <c r="AC31" s="732"/>
      <c r="AD31" s="697"/>
      <c r="AV31" s="697"/>
      <c r="BF31" s="832"/>
    </row>
    <row r="32" spans="1:58" ht="30" customHeight="1" thickBot="1" x14ac:dyDescent="0.25">
      <c r="A32" s="772"/>
      <c r="B32" s="1112"/>
      <c r="C32" s="833" t="s">
        <v>288</v>
      </c>
      <c r="D32" s="834" t="s">
        <v>112</v>
      </c>
      <c r="E32" s="835" t="s">
        <v>289</v>
      </c>
      <c r="F32" s="836">
        <v>18934.57</v>
      </c>
      <c r="G32" s="836">
        <v>8.1935300000000009</v>
      </c>
      <c r="H32" s="836">
        <v>-7.51</v>
      </c>
      <c r="I32" s="836">
        <v>3.4</v>
      </c>
      <c r="J32" s="836">
        <v>2.04</v>
      </c>
      <c r="K32" s="837">
        <v>42471</v>
      </c>
      <c r="L32" s="838" t="s">
        <v>374</v>
      </c>
      <c r="M32" s="813"/>
      <c r="N32" s="795"/>
      <c r="T32" s="712"/>
      <c r="U32" s="712"/>
      <c r="AA32" s="732"/>
      <c r="AB32" s="732"/>
      <c r="AC32" s="732"/>
      <c r="AD32" s="697"/>
      <c r="AV32" s="697"/>
    </row>
    <row r="33" spans="1:58" ht="30" customHeight="1" x14ac:dyDescent="0.2">
      <c r="A33" s="772"/>
      <c r="B33" s="839"/>
      <c r="C33" s="840"/>
      <c r="D33" s="764"/>
      <c r="E33" s="840"/>
      <c r="F33" s="840"/>
      <c r="G33" s="840"/>
      <c r="H33" s="840"/>
      <c r="I33" s="840"/>
      <c r="J33" s="840"/>
      <c r="K33" s="793"/>
      <c r="L33" s="792"/>
      <c r="M33" s="813"/>
      <c r="N33" s="795"/>
      <c r="T33" s="712"/>
      <c r="U33" s="712"/>
      <c r="AA33" s="732"/>
      <c r="AB33" s="732"/>
      <c r="AC33" s="732"/>
      <c r="AD33" s="697"/>
      <c r="AV33" s="697"/>
      <c r="BF33" s="714"/>
    </row>
    <row r="34" spans="1:58" ht="30" customHeight="1" thickBot="1" x14ac:dyDescent="0.25">
      <c r="A34" s="772"/>
      <c r="B34" s="697"/>
      <c r="C34" s="712"/>
      <c r="D34" s="712"/>
      <c r="E34" s="712"/>
      <c r="F34" s="712"/>
      <c r="G34" s="712"/>
      <c r="H34" s="712"/>
      <c r="I34" s="712"/>
      <c r="J34" s="712"/>
      <c r="K34" s="841"/>
      <c r="L34" s="712"/>
      <c r="M34" s="813"/>
      <c r="N34" s="795"/>
      <c r="T34" s="712"/>
      <c r="U34" s="712"/>
      <c r="AA34" s="732"/>
      <c r="AB34" s="732"/>
      <c r="AC34" s="732"/>
      <c r="AD34" s="697"/>
      <c r="AV34" s="697"/>
      <c r="BF34" s="714"/>
    </row>
    <row r="35" spans="1:58" ht="30" customHeight="1" thickBot="1" x14ac:dyDescent="0.25">
      <c r="A35" s="772"/>
      <c r="B35" s="1096" t="s">
        <v>269</v>
      </c>
      <c r="C35" s="1097"/>
      <c r="D35" s="1097"/>
      <c r="E35" s="1097"/>
      <c r="F35" s="1097"/>
      <c r="G35" s="1097"/>
      <c r="H35" s="1097"/>
      <c r="I35" s="1097"/>
      <c r="J35" s="1097"/>
      <c r="K35" s="1097"/>
      <c r="L35" s="1098"/>
      <c r="M35" s="813"/>
      <c r="N35" s="795"/>
      <c r="T35" s="712"/>
      <c r="U35" s="712"/>
      <c r="AA35" s="732"/>
      <c r="AB35" s="732"/>
      <c r="AC35" s="732"/>
      <c r="AD35" s="697"/>
      <c r="AV35" s="697"/>
      <c r="BF35" s="714"/>
    </row>
    <row r="36" spans="1:58" ht="60" customHeight="1" thickBot="1" x14ac:dyDescent="0.25">
      <c r="A36" s="772"/>
      <c r="B36" s="697"/>
      <c r="C36" s="842"/>
      <c r="D36" s="816" t="s">
        <v>55</v>
      </c>
      <c r="E36" s="816" t="s">
        <v>353</v>
      </c>
      <c r="F36" s="817" t="s">
        <v>352</v>
      </c>
      <c r="G36" s="817" t="s">
        <v>244</v>
      </c>
      <c r="H36" s="817" t="s">
        <v>306</v>
      </c>
      <c r="I36" s="817" t="s">
        <v>241</v>
      </c>
      <c r="J36" s="817" t="s">
        <v>307</v>
      </c>
      <c r="K36" s="843" t="s">
        <v>243</v>
      </c>
      <c r="L36" s="819" t="s">
        <v>375</v>
      </c>
      <c r="M36" s="813"/>
      <c r="N36" s="795"/>
      <c r="T36" s="712"/>
      <c r="U36" s="712"/>
      <c r="AA36" s="732"/>
      <c r="AB36" s="732"/>
      <c r="AC36" s="732"/>
      <c r="AD36" s="697"/>
      <c r="AV36" s="697"/>
      <c r="BF36" s="714"/>
    </row>
    <row r="37" spans="1:58" ht="30" customHeight="1" thickBot="1" x14ac:dyDescent="0.25">
      <c r="A37" s="772"/>
      <c r="B37" s="1088" t="s">
        <v>406</v>
      </c>
      <c r="C37" s="844"/>
      <c r="D37" s="845"/>
      <c r="E37" s="846"/>
      <c r="F37" s="846"/>
      <c r="G37" s="846"/>
      <c r="H37" s="846"/>
      <c r="I37" s="846"/>
      <c r="J37" s="846"/>
      <c r="K37" s="847"/>
      <c r="L37" s="848"/>
      <c r="M37" s="813"/>
      <c r="N37" s="795"/>
      <c r="T37" s="712"/>
      <c r="U37" s="712"/>
      <c r="AA37" s="732"/>
      <c r="AB37" s="732"/>
      <c r="AC37" s="732"/>
      <c r="AD37" s="697"/>
      <c r="AV37" s="697"/>
      <c r="BF37" s="714"/>
    </row>
    <row r="38" spans="1:58" ht="30" customHeight="1" thickBot="1" x14ac:dyDescent="0.25">
      <c r="A38" s="772"/>
      <c r="B38" s="1089"/>
      <c r="C38" s="849" t="s">
        <v>408</v>
      </c>
      <c r="D38" s="1164" t="s">
        <v>372</v>
      </c>
      <c r="E38" s="850" t="s">
        <v>290</v>
      </c>
      <c r="F38" s="851">
        <v>2.8000000000000001E-2</v>
      </c>
      <c r="G38" s="852">
        <v>1E-3</v>
      </c>
      <c r="H38" s="852">
        <v>-2.8000000000000001E-2</v>
      </c>
      <c r="I38" s="852">
        <v>1.2999999999999999E-2</v>
      </c>
      <c r="J38" s="853">
        <v>2</v>
      </c>
      <c r="K38" s="854">
        <v>42843</v>
      </c>
      <c r="L38" s="1099" t="s">
        <v>441</v>
      </c>
      <c r="M38" s="813"/>
      <c r="N38" s="795"/>
      <c r="T38" s="712"/>
      <c r="U38" s="712"/>
      <c r="AA38" s="732"/>
      <c r="AB38" s="732"/>
      <c r="AC38" s="732"/>
      <c r="AD38" s="697"/>
      <c r="AV38" s="697"/>
    </row>
    <row r="39" spans="1:58" ht="30" customHeight="1" thickBot="1" x14ac:dyDescent="0.25">
      <c r="A39" s="772"/>
      <c r="B39" s="1089"/>
      <c r="C39" s="849" t="s">
        <v>409</v>
      </c>
      <c r="D39" s="1165"/>
      <c r="E39" s="850" t="s">
        <v>290</v>
      </c>
      <c r="F39" s="855">
        <v>25.062000000000001</v>
      </c>
      <c r="G39" s="820">
        <v>1E-3</v>
      </c>
      <c r="H39" s="820">
        <v>-6.8000000000000005E-2</v>
      </c>
      <c r="I39" s="820">
        <v>4.3999999999999997E-2</v>
      </c>
      <c r="J39" s="856">
        <v>2</v>
      </c>
      <c r="K39" s="828">
        <v>42843</v>
      </c>
      <c r="L39" s="1100"/>
      <c r="M39" s="813"/>
      <c r="N39" s="795"/>
      <c r="T39" s="712"/>
      <c r="U39" s="712"/>
      <c r="AA39" s="732"/>
      <c r="AB39" s="732"/>
      <c r="AC39" s="732"/>
      <c r="AD39" s="697"/>
      <c r="AV39" s="697"/>
    </row>
    <row r="40" spans="1:58" ht="30" customHeight="1" thickBot="1" x14ac:dyDescent="0.25">
      <c r="A40" s="772"/>
      <c r="B40" s="1090"/>
      <c r="C40" s="857" t="s">
        <v>410</v>
      </c>
      <c r="D40" s="1166"/>
      <c r="E40" s="858" t="s">
        <v>290</v>
      </c>
      <c r="F40" s="859">
        <v>50.091999999999999</v>
      </c>
      <c r="G40" s="830">
        <v>1E-3</v>
      </c>
      <c r="H40" s="830">
        <v>-0.10199999999999999</v>
      </c>
      <c r="I40" s="830">
        <v>4.3999999999999997E-2</v>
      </c>
      <c r="J40" s="860">
        <v>2</v>
      </c>
      <c r="K40" s="861">
        <v>42843</v>
      </c>
      <c r="L40" s="1101"/>
      <c r="M40" s="813"/>
      <c r="N40" s="795"/>
      <c r="T40" s="712"/>
      <c r="U40" s="712"/>
      <c r="Y40" s="732"/>
      <c r="Z40" s="732"/>
      <c r="AA40" s="732"/>
      <c r="AB40" s="732"/>
      <c r="AC40" s="732"/>
      <c r="AD40" s="697"/>
      <c r="AV40" s="697"/>
    </row>
    <row r="41" spans="1:58" ht="30" customHeight="1" thickBot="1" x14ac:dyDescent="0.25">
      <c r="A41" s="772"/>
      <c r="B41" s="1088" t="s">
        <v>407</v>
      </c>
      <c r="C41" s="862"/>
      <c r="D41" s="863"/>
      <c r="E41" s="864"/>
      <c r="F41" s="865"/>
      <c r="G41" s="846"/>
      <c r="H41" s="846"/>
      <c r="I41" s="846"/>
      <c r="J41" s="846"/>
      <c r="K41" s="847"/>
      <c r="L41" s="866"/>
      <c r="M41" s="813"/>
      <c r="N41" s="795"/>
      <c r="T41" s="700"/>
      <c r="U41" s="700"/>
      <c r="V41" s="700"/>
      <c r="W41" s="700"/>
      <c r="X41" s="700"/>
      <c r="Y41" s="732"/>
      <c r="Z41" s="732"/>
      <c r="AA41" s="732"/>
      <c r="AB41" s="732"/>
      <c r="AC41" s="732"/>
      <c r="AD41" s="697"/>
      <c r="AV41" s="697"/>
    </row>
    <row r="42" spans="1:58" ht="30" customHeight="1" thickBot="1" x14ac:dyDescent="0.25">
      <c r="A42" s="772"/>
      <c r="B42" s="1089"/>
      <c r="C42" s="849" t="s">
        <v>411</v>
      </c>
      <c r="D42" s="1164" t="s">
        <v>372</v>
      </c>
      <c r="E42" s="867" t="s">
        <v>291</v>
      </c>
      <c r="F42" s="851">
        <v>-6.0000000000000001E-3</v>
      </c>
      <c r="G42" s="852">
        <v>1E-3</v>
      </c>
      <c r="H42" s="852">
        <v>6.0000000000000001E-3</v>
      </c>
      <c r="I42" s="852">
        <v>1.2999999999999999E-2</v>
      </c>
      <c r="J42" s="852">
        <v>2</v>
      </c>
      <c r="K42" s="868">
        <v>42843</v>
      </c>
      <c r="L42" s="1099" t="s">
        <v>442</v>
      </c>
      <c r="M42" s="813"/>
      <c r="N42" s="795"/>
      <c r="T42" s="700"/>
      <c r="U42" s="700"/>
      <c r="V42" s="700"/>
      <c r="W42" s="700"/>
      <c r="X42" s="700"/>
      <c r="Y42" s="732"/>
      <c r="Z42" s="732"/>
      <c r="AA42" s="732"/>
      <c r="AB42" s="732"/>
      <c r="AC42" s="732"/>
      <c r="AD42" s="697"/>
      <c r="AV42" s="697"/>
    </row>
    <row r="43" spans="1:58" ht="30" customHeight="1" thickBot="1" x14ac:dyDescent="0.25">
      <c r="A43" s="772"/>
      <c r="B43" s="1089"/>
      <c r="C43" s="849" t="s">
        <v>412</v>
      </c>
      <c r="D43" s="1165"/>
      <c r="E43" s="869" t="s">
        <v>292</v>
      </c>
      <c r="F43" s="855">
        <v>25.021999999999998</v>
      </c>
      <c r="G43" s="820">
        <v>1E-3</v>
      </c>
      <c r="H43" s="820">
        <v>-2.8000000000000001E-2</v>
      </c>
      <c r="I43" s="820">
        <v>4.3999999999999997E-2</v>
      </c>
      <c r="J43" s="820">
        <v>2</v>
      </c>
      <c r="K43" s="870">
        <v>42843</v>
      </c>
      <c r="L43" s="1100"/>
      <c r="M43" s="813"/>
      <c r="N43" s="795"/>
      <c r="Q43" s="731"/>
      <c r="R43" s="732"/>
      <c r="S43" s="732"/>
      <c r="T43" s="732"/>
      <c r="U43" s="732"/>
      <c r="V43" s="732"/>
      <c r="W43" s="700"/>
      <c r="X43" s="700"/>
      <c r="Y43" s="732"/>
      <c r="Z43" s="732"/>
      <c r="AA43" s="732"/>
      <c r="AB43" s="732"/>
      <c r="AC43" s="732"/>
      <c r="AD43" s="697"/>
      <c r="AV43" s="697"/>
    </row>
    <row r="44" spans="1:58" ht="30" customHeight="1" thickBot="1" x14ac:dyDescent="0.25">
      <c r="A44" s="772"/>
      <c r="B44" s="1090"/>
      <c r="C44" s="857" t="s">
        <v>413</v>
      </c>
      <c r="D44" s="1166"/>
      <c r="E44" s="871" t="s">
        <v>291</v>
      </c>
      <c r="F44" s="859">
        <v>50.05</v>
      </c>
      <c r="G44" s="830">
        <v>1E-3</v>
      </c>
      <c r="H44" s="830">
        <v>-5.8999999999999997E-2</v>
      </c>
      <c r="I44" s="830">
        <v>4.3999999999999997E-2</v>
      </c>
      <c r="J44" s="830">
        <v>2</v>
      </c>
      <c r="K44" s="872">
        <v>42843</v>
      </c>
      <c r="L44" s="1101"/>
      <c r="M44" s="813"/>
      <c r="N44" s="795"/>
      <c r="Q44" s="731"/>
      <c r="R44" s="732"/>
      <c r="S44" s="732"/>
      <c r="T44" s="732"/>
      <c r="U44" s="732"/>
      <c r="V44" s="732"/>
      <c r="W44" s="732"/>
      <c r="X44" s="732"/>
      <c r="Y44" s="732"/>
      <c r="Z44" s="732"/>
      <c r="AA44" s="732"/>
      <c r="AB44" s="732"/>
      <c r="AC44" s="732"/>
      <c r="AD44" s="697"/>
      <c r="AV44" s="697"/>
    </row>
    <row r="45" spans="1:58" ht="30" customHeight="1" thickBot="1" x14ac:dyDescent="0.25">
      <c r="A45" s="772"/>
      <c r="B45" s="697"/>
      <c r="C45" s="712"/>
      <c r="D45" s="712"/>
      <c r="E45" s="712"/>
      <c r="F45" s="712"/>
      <c r="G45" s="712"/>
      <c r="H45" s="712"/>
      <c r="I45" s="712"/>
      <c r="J45" s="712"/>
      <c r="K45" s="841"/>
      <c r="L45" s="712"/>
      <c r="M45" s="813"/>
      <c r="N45" s="795"/>
      <c r="Q45" s="731"/>
      <c r="R45" s="732"/>
      <c r="S45" s="732"/>
      <c r="T45" s="732"/>
      <c r="U45" s="732"/>
      <c r="V45" s="732"/>
      <c r="W45" s="732"/>
      <c r="X45" s="732"/>
      <c r="Y45" s="732"/>
      <c r="Z45" s="732"/>
      <c r="AA45" s="732"/>
      <c r="AB45" s="732"/>
      <c r="AC45" s="732"/>
      <c r="AD45" s="697"/>
      <c r="AV45" s="697"/>
    </row>
    <row r="46" spans="1:58" ht="30" customHeight="1" thickBot="1" x14ac:dyDescent="0.25">
      <c r="A46" s="772"/>
      <c r="B46" s="1096" t="s">
        <v>494</v>
      </c>
      <c r="C46" s="1097"/>
      <c r="D46" s="1097"/>
      <c r="E46" s="1097"/>
      <c r="F46" s="1097"/>
      <c r="G46" s="1097"/>
      <c r="H46" s="1097"/>
      <c r="I46" s="1097"/>
      <c r="J46" s="1097"/>
      <c r="K46" s="1097"/>
      <c r="L46" s="1098"/>
      <c r="M46" s="813"/>
      <c r="N46" s="795"/>
      <c r="Q46" s="731"/>
      <c r="R46" s="732"/>
      <c r="S46" s="732"/>
      <c r="T46" s="732"/>
      <c r="U46" s="732"/>
      <c r="V46" s="732"/>
      <c r="W46" s="732"/>
      <c r="X46" s="732"/>
      <c r="Y46" s="732"/>
      <c r="Z46" s="732"/>
      <c r="AA46" s="732"/>
      <c r="AB46" s="732"/>
      <c r="AC46" s="732"/>
      <c r="AD46" s="697"/>
      <c r="AV46" s="697"/>
      <c r="AW46" s="697"/>
      <c r="AX46" s="697"/>
      <c r="AY46" s="697"/>
      <c r="AZ46" s="697"/>
      <c r="BA46" s="697"/>
      <c r="BB46" s="697"/>
      <c r="BC46" s="697"/>
      <c r="BD46" s="697"/>
      <c r="BE46" s="697"/>
      <c r="BF46" s="697"/>
    </row>
    <row r="47" spans="1:58" ht="30" customHeight="1" thickBot="1" x14ac:dyDescent="0.25">
      <c r="A47" s="772"/>
      <c r="B47" s="697"/>
      <c r="C47" s="842"/>
      <c r="D47" s="873" t="s">
        <v>55</v>
      </c>
      <c r="E47" s="874" t="s">
        <v>353</v>
      </c>
      <c r="F47" s="873" t="s">
        <v>352</v>
      </c>
      <c r="G47" s="873" t="s">
        <v>244</v>
      </c>
      <c r="H47" s="873" t="s">
        <v>306</v>
      </c>
      <c r="I47" s="873" t="s">
        <v>241</v>
      </c>
      <c r="J47" s="873" t="s">
        <v>307</v>
      </c>
      <c r="K47" s="875" t="s">
        <v>243</v>
      </c>
      <c r="L47" s="819" t="s">
        <v>375</v>
      </c>
      <c r="M47" s="813"/>
      <c r="N47" s="795"/>
      <c r="Q47" s="731"/>
      <c r="R47" s="732"/>
      <c r="S47" s="732"/>
      <c r="T47" s="732"/>
      <c r="U47" s="732"/>
      <c r="V47" s="732"/>
      <c r="W47" s="732"/>
      <c r="X47" s="732"/>
      <c r="Y47" s="732"/>
      <c r="Z47" s="732"/>
      <c r="AA47" s="732"/>
      <c r="AB47" s="732"/>
      <c r="AC47" s="732"/>
      <c r="AD47" s="697"/>
      <c r="AV47" s="697"/>
      <c r="AW47" s="697"/>
      <c r="AX47" s="697"/>
      <c r="AY47" s="697"/>
      <c r="AZ47" s="697"/>
      <c r="BA47" s="697"/>
      <c r="BB47" s="697"/>
      <c r="BC47" s="697"/>
      <c r="BD47" s="697"/>
      <c r="BE47" s="697"/>
      <c r="BF47" s="697"/>
    </row>
    <row r="48" spans="1:58" ht="30" customHeight="1" thickBot="1" x14ac:dyDescent="0.25">
      <c r="A48" s="772"/>
      <c r="B48" s="1138" t="s">
        <v>257</v>
      </c>
      <c r="C48" s="876"/>
      <c r="D48" s="877"/>
      <c r="E48" s="878"/>
      <c r="F48" s="878"/>
      <c r="G48" s="878"/>
      <c r="H48" s="878"/>
      <c r="I48" s="878"/>
      <c r="J48" s="878"/>
      <c r="K48" s="879"/>
      <c r="L48" s="710"/>
      <c r="M48" s="813"/>
      <c r="N48" s="795"/>
      <c r="Q48" s="731"/>
      <c r="R48" s="732"/>
      <c r="S48" s="732"/>
      <c r="T48" s="732"/>
      <c r="U48" s="732"/>
      <c r="V48" s="732"/>
      <c r="W48" s="732"/>
      <c r="X48" s="732"/>
      <c r="Y48" s="732"/>
      <c r="Z48" s="732"/>
      <c r="AA48" s="732"/>
      <c r="AB48" s="732"/>
      <c r="AC48" s="732"/>
      <c r="AD48" s="697"/>
      <c r="AV48" s="697"/>
      <c r="AW48" s="697"/>
      <c r="AX48" s="697"/>
      <c r="AY48" s="697"/>
      <c r="AZ48" s="697"/>
      <c r="BA48" s="697"/>
      <c r="BB48" s="697"/>
      <c r="BC48" s="697"/>
      <c r="BD48" s="697"/>
      <c r="BE48" s="697"/>
      <c r="BF48" s="697"/>
    </row>
    <row r="49" spans="1:58" ht="30" customHeight="1" x14ac:dyDescent="0.2">
      <c r="A49" s="772"/>
      <c r="B49" s="1139"/>
      <c r="C49" s="777" t="s">
        <v>414</v>
      </c>
      <c r="D49" s="1116" t="s">
        <v>364</v>
      </c>
      <c r="E49" s="880">
        <v>2307140802024</v>
      </c>
      <c r="F49" s="881">
        <v>20.100000000000001</v>
      </c>
      <c r="G49" s="881">
        <v>0.1</v>
      </c>
      <c r="H49" s="882">
        <v>0</v>
      </c>
      <c r="I49" s="881">
        <v>0.2</v>
      </c>
      <c r="J49" s="881">
        <v>1.96</v>
      </c>
      <c r="K49" s="883">
        <v>42580</v>
      </c>
      <c r="L49" s="884" t="s">
        <v>443</v>
      </c>
      <c r="M49" s="813"/>
      <c r="N49" s="795"/>
      <c r="Q49" s="731"/>
      <c r="R49" s="732"/>
      <c r="S49" s="732"/>
      <c r="T49" s="732"/>
      <c r="U49" s="732"/>
      <c r="V49" s="732"/>
      <c r="W49" s="732"/>
      <c r="X49" s="732"/>
      <c r="Y49" s="732"/>
      <c r="Z49" s="732"/>
      <c r="AA49" s="732"/>
      <c r="AB49" s="732"/>
      <c r="AC49" s="732"/>
      <c r="AD49" s="697"/>
      <c r="AV49" s="697"/>
      <c r="AW49" s="697"/>
      <c r="AX49" s="697"/>
      <c r="AY49" s="697"/>
      <c r="AZ49" s="697"/>
      <c r="BA49" s="697"/>
      <c r="BB49" s="697"/>
      <c r="BC49" s="697"/>
      <c r="BD49" s="697"/>
      <c r="BE49" s="697"/>
      <c r="BF49" s="697"/>
    </row>
    <row r="50" spans="1:58" ht="30" customHeight="1" x14ac:dyDescent="0.2">
      <c r="A50" s="772"/>
      <c r="B50" s="1139"/>
      <c r="C50" s="715" t="s">
        <v>415</v>
      </c>
      <c r="D50" s="1117"/>
      <c r="E50" s="885">
        <v>2307140802024</v>
      </c>
      <c r="F50" s="716">
        <v>50.4</v>
      </c>
      <c r="G50" s="716">
        <v>0.1</v>
      </c>
      <c r="H50" s="716">
        <v>-0.4</v>
      </c>
      <c r="I50" s="716">
        <v>1.7</v>
      </c>
      <c r="J50" s="716">
        <v>1.96</v>
      </c>
      <c r="K50" s="717">
        <v>42586</v>
      </c>
      <c r="L50" s="886" t="s">
        <v>444</v>
      </c>
      <c r="M50" s="813"/>
      <c r="N50" s="795"/>
      <c r="Q50" s="731"/>
      <c r="R50" s="732"/>
      <c r="S50" s="732"/>
      <c r="T50" s="732"/>
      <c r="U50" s="732"/>
      <c r="V50" s="732"/>
      <c r="W50" s="732"/>
      <c r="X50" s="732"/>
      <c r="Y50" s="732"/>
      <c r="Z50" s="732"/>
      <c r="AA50" s="732"/>
      <c r="AB50" s="732"/>
      <c r="AC50" s="732"/>
      <c r="AD50" s="697"/>
      <c r="AV50" s="697"/>
      <c r="AW50" s="697"/>
      <c r="AX50" s="697"/>
      <c r="AY50" s="697"/>
      <c r="AZ50" s="697"/>
      <c r="BA50" s="697"/>
      <c r="BB50" s="697"/>
      <c r="BC50" s="697"/>
      <c r="BD50" s="697"/>
      <c r="BE50" s="697"/>
      <c r="BF50" s="697"/>
    </row>
    <row r="51" spans="1:58" ht="30" customHeight="1" thickBot="1" x14ac:dyDescent="0.25">
      <c r="A51" s="772"/>
      <c r="B51" s="1139"/>
      <c r="C51" s="786" t="s">
        <v>416</v>
      </c>
      <c r="D51" s="1118"/>
      <c r="E51" s="887">
        <v>2307140802024</v>
      </c>
      <c r="F51" s="888">
        <v>753.1</v>
      </c>
      <c r="G51" s="888">
        <v>0.1</v>
      </c>
      <c r="H51" s="888">
        <v>-0.74099999999999999</v>
      </c>
      <c r="I51" s="888">
        <v>6.4000000000000001E-2</v>
      </c>
      <c r="J51" s="888">
        <v>2</v>
      </c>
      <c r="K51" s="889">
        <v>42625</v>
      </c>
      <c r="L51" s="890" t="s">
        <v>445</v>
      </c>
      <c r="M51" s="813"/>
      <c r="N51" s="795"/>
      <c r="O51" s="891"/>
      <c r="P51" s="697"/>
      <c r="Q51" s="731"/>
      <c r="R51" s="732"/>
      <c r="S51" s="732"/>
      <c r="T51" s="732"/>
      <c r="U51" s="732"/>
      <c r="V51" s="732"/>
      <c r="W51" s="732"/>
      <c r="X51" s="732"/>
      <c r="Y51" s="732"/>
      <c r="Z51" s="732"/>
      <c r="AA51" s="732"/>
      <c r="AB51" s="732"/>
      <c r="AC51" s="732"/>
      <c r="AD51" s="697"/>
      <c r="AV51" s="697"/>
      <c r="AW51" s="697"/>
      <c r="AX51" s="697"/>
      <c r="AY51" s="697"/>
      <c r="AZ51" s="697"/>
      <c r="BA51" s="697"/>
      <c r="BB51" s="697"/>
      <c r="BC51" s="697"/>
      <c r="BD51" s="697"/>
      <c r="BE51" s="697"/>
      <c r="BF51" s="697"/>
    </row>
    <row r="52" spans="1:58" ht="30" customHeight="1" thickBot="1" x14ac:dyDescent="0.25">
      <c r="A52" s="772"/>
      <c r="B52" s="1140"/>
      <c r="C52" s="892"/>
      <c r="D52" s="893"/>
      <c r="E52" s="695"/>
      <c r="F52" s="894"/>
      <c r="G52" s="894"/>
      <c r="H52" s="894"/>
      <c r="I52" s="894"/>
      <c r="J52" s="894"/>
      <c r="K52" s="895"/>
      <c r="L52" s="896"/>
      <c r="M52" s="813"/>
      <c r="N52" s="795"/>
      <c r="O52" s="891"/>
      <c r="P52" s="697"/>
      <c r="Q52" s="731"/>
      <c r="R52" s="732"/>
      <c r="S52" s="732"/>
      <c r="T52" s="732"/>
      <c r="U52" s="732"/>
      <c r="V52" s="732"/>
      <c r="W52" s="732"/>
      <c r="X52" s="732"/>
      <c r="Y52" s="732"/>
      <c r="Z52" s="732"/>
      <c r="AA52" s="732"/>
      <c r="AB52" s="732"/>
      <c r="AC52" s="732"/>
      <c r="AD52" s="697"/>
      <c r="AV52" s="697"/>
      <c r="AW52" s="697"/>
      <c r="AX52" s="697"/>
      <c r="AY52" s="697"/>
      <c r="AZ52" s="697"/>
      <c r="BA52" s="697"/>
      <c r="BB52" s="697"/>
      <c r="BC52" s="697"/>
      <c r="BD52" s="697"/>
      <c r="BE52" s="697"/>
      <c r="BF52" s="697"/>
    </row>
    <row r="53" spans="1:58" ht="30" customHeight="1" x14ac:dyDescent="0.2">
      <c r="A53" s="772"/>
      <c r="B53" s="1139"/>
      <c r="C53" s="777" t="s">
        <v>417</v>
      </c>
      <c r="D53" s="1116" t="s">
        <v>364</v>
      </c>
      <c r="E53" s="880">
        <v>19506160802033</v>
      </c>
      <c r="F53" s="881">
        <v>28.1</v>
      </c>
      <c r="G53" s="881">
        <v>0.1</v>
      </c>
      <c r="H53" s="881">
        <v>0.1</v>
      </c>
      <c r="I53" s="881">
        <v>1.5</v>
      </c>
      <c r="J53" s="881">
        <v>2</v>
      </c>
      <c r="K53" s="883">
        <v>42674</v>
      </c>
      <c r="L53" s="884" t="s">
        <v>446</v>
      </c>
      <c r="M53" s="813"/>
      <c r="N53" s="795"/>
      <c r="O53" s="891"/>
      <c r="P53" s="697"/>
      <c r="Q53" s="731"/>
      <c r="R53" s="732"/>
      <c r="S53" s="732"/>
      <c r="T53" s="732"/>
      <c r="U53" s="732"/>
      <c r="V53" s="732"/>
      <c r="W53" s="732"/>
      <c r="X53" s="732"/>
      <c r="Y53" s="732"/>
      <c r="Z53" s="732"/>
      <c r="AA53" s="732"/>
      <c r="AB53" s="732"/>
      <c r="AC53" s="732"/>
      <c r="AD53" s="697"/>
      <c r="AV53" s="697"/>
      <c r="AW53" s="697"/>
      <c r="AX53" s="697"/>
      <c r="AY53" s="697"/>
      <c r="AZ53" s="697"/>
      <c r="BA53" s="697"/>
      <c r="BB53" s="697"/>
      <c r="BC53" s="697"/>
      <c r="BD53" s="697"/>
      <c r="BE53" s="697"/>
      <c r="BF53" s="697"/>
    </row>
    <row r="54" spans="1:58" ht="30" customHeight="1" x14ac:dyDescent="0.2">
      <c r="A54" s="772"/>
      <c r="B54" s="1139"/>
      <c r="C54" s="715" t="s">
        <v>421</v>
      </c>
      <c r="D54" s="1117"/>
      <c r="E54" s="885">
        <v>19506160802033</v>
      </c>
      <c r="F54" s="716">
        <v>59.9</v>
      </c>
      <c r="G54" s="716">
        <v>0.1</v>
      </c>
      <c r="H54" s="716">
        <v>0.47</v>
      </c>
      <c r="I54" s="716">
        <v>1.6</v>
      </c>
      <c r="J54" s="716">
        <v>2</v>
      </c>
      <c r="K54" s="717">
        <v>42674</v>
      </c>
      <c r="L54" s="886" t="s">
        <v>447</v>
      </c>
      <c r="M54" s="813"/>
      <c r="N54" s="795"/>
      <c r="O54" s="891"/>
      <c r="P54" s="697"/>
      <c r="Q54" s="731"/>
      <c r="R54" s="732"/>
      <c r="S54" s="732"/>
      <c r="T54" s="732"/>
      <c r="U54" s="732"/>
      <c r="V54" s="732"/>
      <c r="W54" s="732"/>
      <c r="X54" s="732"/>
      <c r="Y54" s="732"/>
      <c r="Z54" s="732"/>
      <c r="AA54" s="732"/>
      <c r="AB54" s="732"/>
      <c r="AC54" s="732"/>
      <c r="AD54" s="697"/>
      <c r="AV54" s="697"/>
      <c r="AW54" s="697"/>
      <c r="AX54" s="697"/>
      <c r="AY54" s="697"/>
      <c r="AZ54" s="697"/>
      <c r="BA54" s="697"/>
      <c r="BB54" s="697"/>
      <c r="BC54" s="697"/>
      <c r="BD54" s="697"/>
      <c r="BE54" s="697"/>
      <c r="BF54" s="697"/>
    </row>
    <row r="55" spans="1:58" ht="30" customHeight="1" thickBot="1" x14ac:dyDescent="0.25">
      <c r="A55" s="772"/>
      <c r="B55" s="1139"/>
      <c r="C55" s="786" t="s">
        <v>425</v>
      </c>
      <c r="D55" s="1118"/>
      <c r="E55" s="887">
        <v>19506160802033</v>
      </c>
      <c r="F55" s="888">
        <v>1099.8</v>
      </c>
      <c r="G55" s="888">
        <v>0.1</v>
      </c>
      <c r="H55" s="888">
        <v>-0.4</v>
      </c>
      <c r="I55" s="888">
        <v>0.17</v>
      </c>
      <c r="J55" s="888">
        <v>2</v>
      </c>
      <c r="K55" s="889">
        <v>42671</v>
      </c>
      <c r="L55" s="897" t="s">
        <v>448</v>
      </c>
      <c r="M55" s="813"/>
      <c r="N55" s="795"/>
      <c r="O55" s="891"/>
      <c r="P55" s="697"/>
      <c r="Q55" s="731"/>
      <c r="R55" s="732"/>
      <c r="S55" s="732"/>
      <c r="T55" s="732"/>
      <c r="U55" s="732"/>
      <c r="V55" s="732"/>
      <c r="W55" s="732"/>
      <c r="X55" s="732"/>
      <c r="Y55" s="732"/>
      <c r="Z55" s="732"/>
      <c r="AA55" s="732"/>
      <c r="AB55" s="732"/>
      <c r="AC55" s="732"/>
      <c r="AD55" s="697"/>
      <c r="AV55" s="697"/>
      <c r="AW55" s="697"/>
      <c r="AX55" s="697"/>
      <c r="AY55" s="697"/>
      <c r="AZ55" s="697"/>
      <c r="BA55" s="697"/>
      <c r="BB55" s="697"/>
      <c r="BC55" s="697"/>
      <c r="BD55" s="697"/>
      <c r="BE55" s="697"/>
      <c r="BF55" s="697"/>
    </row>
    <row r="56" spans="1:58" ht="30" customHeight="1" thickBot="1" x14ac:dyDescent="0.25">
      <c r="A56" s="772"/>
      <c r="B56" s="1140"/>
      <c r="C56" s="898"/>
      <c r="D56" s="894"/>
      <c r="E56" s="695"/>
      <c r="F56" s="894"/>
      <c r="G56" s="894"/>
      <c r="H56" s="894"/>
      <c r="I56" s="894"/>
      <c r="J56" s="894"/>
      <c r="K56" s="895"/>
      <c r="L56" s="896"/>
      <c r="M56" s="813"/>
      <c r="N56" s="795"/>
      <c r="O56" s="891"/>
      <c r="P56" s="697"/>
      <c r="Q56" s="731"/>
      <c r="R56" s="732"/>
      <c r="S56" s="732"/>
      <c r="T56" s="732"/>
      <c r="U56" s="732"/>
      <c r="V56" s="732"/>
      <c r="W56" s="732"/>
      <c r="X56" s="732"/>
      <c r="Y56" s="732"/>
      <c r="Z56" s="732"/>
      <c r="AA56" s="732"/>
      <c r="AB56" s="732"/>
      <c r="AC56" s="732"/>
      <c r="AD56" s="697"/>
      <c r="AV56" s="697"/>
      <c r="AW56" s="697"/>
      <c r="AX56" s="697"/>
      <c r="AY56" s="697"/>
      <c r="AZ56" s="697"/>
      <c r="BA56" s="697"/>
      <c r="BB56" s="697"/>
      <c r="BC56" s="697"/>
      <c r="BD56" s="697"/>
      <c r="BE56" s="697"/>
      <c r="BF56" s="697"/>
    </row>
    <row r="57" spans="1:58" ht="30" customHeight="1" x14ac:dyDescent="0.2">
      <c r="A57" s="772"/>
      <c r="B57" s="1139"/>
      <c r="C57" s="777" t="s">
        <v>418</v>
      </c>
      <c r="D57" s="1116" t="s">
        <v>364</v>
      </c>
      <c r="E57" s="880">
        <v>19406160802033</v>
      </c>
      <c r="F57" s="881">
        <v>20.100000000000001</v>
      </c>
      <c r="G57" s="881">
        <v>0.1</v>
      </c>
      <c r="H57" s="881">
        <v>-0.1</v>
      </c>
      <c r="I57" s="881">
        <v>1.5</v>
      </c>
      <c r="J57" s="881">
        <v>2</v>
      </c>
      <c r="K57" s="883">
        <v>42675</v>
      </c>
      <c r="L57" s="884" t="s">
        <v>449</v>
      </c>
      <c r="M57" s="813"/>
      <c r="N57" s="795"/>
      <c r="O57" s="891"/>
      <c r="P57" s="697"/>
      <c r="Q57" s="731"/>
      <c r="R57" s="732"/>
      <c r="S57" s="732"/>
      <c r="T57" s="732"/>
      <c r="U57" s="732"/>
      <c r="V57" s="732"/>
      <c r="W57" s="732"/>
      <c r="X57" s="732"/>
      <c r="Y57" s="732"/>
      <c r="Z57" s="732"/>
      <c r="AA57" s="732"/>
      <c r="AB57" s="732"/>
      <c r="AC57" s="732"/>
      <c r="AD57" s="697"/>
      <c r="AV57" s="697"/>
      <c r="AW57" s="697"/>
      <c r="AX57" s="697"/>
      <c r="AY57" s="697"/>
      <c r="AZ57" s="697"/>
      <c r="BA57" s="697"/>
      <c r="BB57" s="697"/>
      <c r="BC57" s="697"/>
      <c r="BD57" s="697"/>
      <c r="BE57" s="697"/>
      <c r="BF57" s="697"/>
    </row>
    <row r="58" spans="1:58" ht="30" customHeight="1" x14ac:dyDescent="0.2">
      <c r="A58" s="772"/>
      <c r="B58" s="1139"/>
      <c r="C58" s="715" t="s">
        <v>422</v>
      </c>
      <c r="D58" s="1117"/>
      <c r="E58" s="885">
        <v>19406160802033</v>
      </c>
      <c r="F58" s="716">
        <v>49.8</v>
      </c>
      <c r="G58" s="716">
        <v>0.1</v>
      </c>
      <c r="H58" s="716">
        <v>0.63</v>
      </c>
      <c r="I58" s="716">
        <v>1.6</v>
      </c>
      <c r="J58" s="716">
        <v>2</v>
      </c>
      <c r="K58" s="717">
        <v>42676</v>
      </c>
      <c r="L58" s="886" t="s">
        <v>450</v>
      </c>
      <c r="M58" s="813"/>
      <c r="N58" s="795"/>
      <c r="O58" s="891"/>
      <c r="P58" s="697"/>
      <c r="Q58" s="731"/>
      <c r="R58" s="732"/>
      <c r="S58" s="732"/>
      <c r="T58" s="732"/>
      <c r="U58" s="732"/>
      <c r="V58" s="732"/>
      <c r="W58" s="732"/>
      <c r="X58" s="732"/>
      <c r="Y58" s="732"/>
      <c r="Z58" s="732"/>
      <c r="AA58" s="732"/>
      <c r="AB58" s="732"/>
      <c r="AC58" s="732"/>
      <c r="AD58" s="697"/>
      <c r="AV58" s="697"/>
      <c r="AW58" s="697"/>
      <c r="AX58" s="697"/>
      <c r="AY58" s="697"/>
      <c r="AZ58" s="697"/>
      <c r="BA58" s="697"/>
      <c r="BB58" s="697"/>
      <c r="BC58" s="697"/>
      <c r="BD58" s="697"/>
      <c r="BE58" s="697"/>
      <c r="BF58" s="697"/>
    </row>
    <row r="59" spans="1:58" ht="30" customHeight="1" thickBot="1" x14ac:dyDescent="0.25">
      <c r="A59" s="772"/>
      <c r="B59" s="1139"/>
      <c r="C59" s="786" t="s">
        <v>426</v>
      </c>
      <c r="D59" s="1118"/>
      <c r="E59" s="887">
        <v>19406160802033</v>
      </c>
      <c r="F59" s="888">
        <v>724.6</v>
      </c>
      <c r="G59" s="888">
        <v>0.1</v>
      </c>
      <c r="H59" s="888">
        <v>-0.5</v>
      </c>
      <c r="I59" s="888">
        <v>0.17</v>
      </c>
      <c r="J59" s="888">
        <v>2</v>
      </c>
      <c r="K59" s="889">
        <v>42671</v>
      </c>
      <c r="L59" s="897" t="s">
        <v>451</v>
      </c>
      <c r="M59" s="813"/>
      <c r="N59" s="795"/>
      <c r="O59" s="891"/>
      <c r="P59" s="697"/>
      <c r="Q59" s="731"/>
      <c r="R59" s="732"/>
      <c r="S59" s="732"/>
      <c r="T59" s="732"/>
      <c r="U59" s="732"/>
      <c r="V59" s="732"/>
      <c r="W59" s="732"/>
      <c r="X59" s="732"/>
      <c r="Y59" s="732"/>
      <c r="Z59" s="732"/>
      <c r="AA59" s="732"/>
      <c r="AB59" s="732"/>
      <c r="AC59" s="732"/>
      <c r="AD59" s="697"/>
      <c r="AV59" s="697"/>
      <c r="AW59" s="697"/>
      <c r="AX59" s="697"/>
      <c r="AY59" s="697"/>
      <c r="AZ59" s="697"/>
      <c r="BA59" s="697"/>
      <c r="BB59" s="697"/>
      <c r="BC59" s="697"/>
      <c r="BD59" s="697"/>
      <c r="BE59" s="697"/>
      <c r="BF59" s="697"/>
    </row>
    <row r="60" spans="1:58" ht="30" customHeight="1" thickBot="1" x14ac:dyDescent="0.25">
      <c r="A60" s="772"/>
      <c r="B60" s="1140"/>
      <c r="C60" s="892"/>
      <c r="D60" s="893"/>
      <c r="E60" s="695"/>
      <c r="F60" s="894"/>
      <c r="G60" s="894"/>
      <c r="H60" s="894"/>
      <c r="I60" s="894"/>
      <c r="J60" s="894"/>
      <c r="K60" s="895"/>
      <c r="L60" s="896"/>
      <c r="M60" s="813"/>
      <c r="N60" s="795"/>
      <c r="O60" s="891"/>
      <c r="P60" s="697"/>
      <c r="Q60" s="731"/>
      <c r="R60" s="732"/>
      <c r="S60" s="732"/>
      <c r="T60" s="732"/>
      <c r="U60" s="732"/>
      <c r="V60" s="732"/>
      <c r="W60" s="732"/>
      <c r="X60" s="732"/>
      <c r="Y60" s="732"/>
      <c r="Z60" s="732"/>
      <c r="AA60" s="732"/>
      <c r="AB60" s="732"/>
      <c r="AC60" s="732"/>
      <c r="AD60" s="697"/>
      <c r="AV60" s="697"/>
      <c r="AW60" s="697"/>
      <c r="AX60" s="697"/>
      <c r="AY60" s="697"/>
      <c r="AZ60" s="697"/>
      <c r="BA60" s="697"/>
      <c r="BB60" s="697"/>
      <c r="BC60" s="697"/>
      <c r="BD60" s="697"/>
      <c r="BE60" s="697"/>
      <c r="BF60" s="697"/>
    </row>
    <row r="61" spans="1:58" ht="30" customHeight="1" x14ac:dyDescent="0.2">
      <c r="A61" s="772"/>
      <c r="B61" s="1139"/>
      <c r="C61" s="777" t="s">
        <v>419</v>
      </c>
      <c r="D61" s="1116" t="s">
        <v>364</v>
      </c>
      <c r="E61" s="880">
        <v>2607140802024</v>
      </c>
      <c r="F61" s="881">
        <v>20.100000000000001</v>
      </c>
      <c r="G61" s="881">
        <v>0.1</v>
      </c>
      <c r="H61" s="882">
        <v>0</v>
      </c>
      <c r="I61" s="881">
        <v>0.2</v>
      </c>
      <c r="J61" s="881">
        <v>1.96</v>
      </c>
      <c r="K61" s="883">
        <v>42580</v>
      </c>
      <c r="L61" s="884" t="s">
        <v>452</v>
      </c>
      <c r="M61" s="813"/>
      <c r="N61" s="795"/>
      <c r="O61" s="891"/>
      <c r="P61" s="697"/>
      <c r="Q61" s="731"/>
      <c r="R61" s="732"/>
      <c r="S61" s="732"/>
      <c r="T61" s="732"/>
      <c r="U61" s="732"/>
      <c r="V61" s="732"/>
      <c r="W61" s="732"/>
      <c r="X61" s="732"/>
      <c r="Y61" s="732"/>
      <c r="Z61" s="732"/>
      <c r="AA61" s="732"/>
      <c r="AB61" s="732"/>
      <c r="AC61" s="732"/>
      <c r="AD61" s="697"/>
      <c r="AV61" s="697"/>
      <c r="AW61" s="697"/>
      <c r="AX61" s="697"/>
      <c r="AY61" s="697"/>
      <c r="AZ61" s="697"/>
      <c r="BA61" s="697"/>
      <c r="BB61" s="697"/>
      <c r="BC61" s="697"/>
      <c r="BD61" s="697"/>
      <c r="BE61" s="697"/>
      <c r="BF61" s="697"/>
    </row>
    <row r="62" spans="1:58" ht="30" customHeight="1" x14ac:dyDescent="0.2">
      <c r="A62" s="772"/>
      <c r="B62" s="1139"/>
      <c r="C62" s="715" t="s">
        <v>423</v>
      </c>
      <c r="D62" s="1117"/>
      <c r="E62" s="885">
        <v>2607140802024</v>
      </c>
      <c r="F62" s="716">
        <v>50.6</v>
      </c>
      <c r="G62" s="716">
        <v>0.1</v>
      </c>
      <c r="H62" s="716">
        <v>-0.6</v>
      </c>
      <c r="I62" s="716">
        <v>1.7</v>
      </c>
      <c r="J62" s="716">
        <v>1.96</v>
      </c>
      <c r="K62" s="717">
        <v>42586</v>
      </c>
      <c r="L62" s="886" t="s">
        <v>453</v>
      </c>
      <c r="M62" s="813"/>
      <c r="N62" s="795"/>
      <c r="O62" s="891"/>
      <c r="P62" s="697"/>
      <c r="Q62" s="731"/>
      <c r="R62" s="732"/>
      <c r="S62" s="732"/>
      <c r="T62" s="732"/>
      <c r="U62" s="732"/>
      <c r="V62" s="732"/>
      <c r="W62" s="732"/>
      <c r="X62" s="732"/>
      <c r="Y62" s="732"/>
      <c r="Z62" s="732"/>
      <c r="AA62" s="732"/>
      <c r="AB62" s="732"/>
      <c r="AC62" s="732"/>
      <c r="AD62" s="697"/>
      <c r="AV62" s="697"/>
      <c r="AW62" s="697"/>
      <c r="AX62" s="697"/>
      <c r="AY62" s="697"/>
      <c r="AZ62" s="697"/>
      <c r="BA62" s="697"/>
      <c r="BB62" s="697"/>
      <c r="BC62" s="697"/>
      <c r="BD62" s="697"/>
      <c r="BE62" s="697"/>
      <c r="BF62" s="697"/>
    </row>
    <row r="63" spans="1:58" ht="30" customHeight="1" thickBot="1" x14ac:dyDescent="0.25">
      <c r="A63" s="772"/>
      <c r="B63" s="1139"/>
      <c r="C63" s="786" t="s">
        <v>427</v>
      </c>
      <c r="D63" s="1118"/>
      <c r="E63" s="887">
        <v>2607140802024</v>
      </c>
      <c r="F63" s="888">
        <v>753.2</v>
      </c>
      <c r="G63" s="888">
        <v>0.1</v>
      </c>
      <c r="H63" s="888">
        <v>-0.64100000000000001</v>
      </c>
      <c r="I63" s="888">
        <v>6.4000000000000001E-2</v>
      </c>
      <c r="J63" s="888">
        <v>2</v>
      </c>
      <c r="K63" s="889">
        <v>42625</v>
      </c>
      <c r="L63" s="890" t="s">
        <v>454</v>
      </c>
      <c r="M63" s="813"/>
      <c r="N63" s="795"/>
      <c r="O63" s="891"/>
      <c r="P63" s="697"/>
      <c r="Q63" s="731"/>
      <c r="R63" s="732"/>
      <c r="S63" s="732"/>
      <c r="T63" s="732"/>
      <c r="U63" s="732"/>
      <c r="V63" s="732"/>
      <c r="W63" s="732"/>
      <c r="X63" s="732"/>
      <c r="Y63" s="732"/>
      <c r="Z63" s="732"/>
      <c r="AA63" s="732"/>
      <c r="AB63" s="732"/>
      <c r="AC63" s="732"/>
      <c r="AD63" s="697"/>
      <c r="AV63" s="697"/>
      <c r="AW63" s="697"/>
      <c r="AX63" s="697"/>
      <c r="AY63" s="697"/>
      <c r="AZ63" s="697"/>
      <c r="BA63" s="697"/>
      <c r="BB63" s="697"/>
      <c r="BC63" s="697"/>
      <c r="BD63" s="697"/>
      <c r="BE63" s="697"/>
      <c r="BF63" s="697"/>
    </row>
    <row r="64" spans="1:58" ht="30" customHeight="1" thickBot="1" x14ac:dyDescent="0.25">
      <c r="A64" s="772"/>
      <c r="B64" s="1140"/>
      <c r="C64" s="899"/>
      <c r="D64" s="900"/>
      <c r="E64" s="695"/>
      <c r="F64" s="894"/>
      <c r="G64" s="894"/>
      <c r="H64" s="894"/>
      <c r="I64" s="894"/>
      <c r="J64" s="894"/>
      <c r="K64" s="895"/>
      <c r="L64" s="896"/>
      <c r="M64" s="813"/>
      <c r="N64" s="795"/>
      <c r="O64" s="891"/>
      <c r="P64" s="697"/>
      <c r="Q64" s="731"/>
      <c r="R64" s="732"/>
      <c r="S64" s="732"/>
      <c r="T64" s="732"/>
      <c r="U64" s="732"/>
      <c r="V64" s="732"/>
      <c r="W64" s="732"/>
      <c r="X64" s="732"/>
      <c r="Y64" s="732"/>
      <c r="Z64" s="732"/>
      <c r="AA64" s="732"/>
      <c r="AB64" s="732"/>
      <c r="AC64" s="732"/>
      <c r="AD64" s="697"/>
      <c r="AV64" s="697"/>
      <c r="AW64" s="697"/>
      <c r="AX64" s="697"/>
      <c r="AY64" s="697"/>
      <c r="AZ64" s="697"/>
      <c r="BA64" s="697"/>
      <c r="BB64" s="697"/>
      <c r="BC64" s="697"/>
      <c r="BD64" s="697"/>
      <c r="BE64" s="697"/>
      <c r="BF64" s="697"/>
    </row>
    <row r="65" spans="1:58" ht="30" customHeight="1" x14ac:dyDescent="0.2">
      <c r="A65" s="772"/>
      <c r="B65" s="1140"/>
      <c r="C65" s="777" t="s">
        <v>420</v>
      </c>
      <c r="D65" s="1134" t="s">
        <v>364</v>
      </c>
      <c r="E65" s="901">
        <v>2207140802024</v>
      </c>
      <c r="F65" s="882">
        <v>20</v>
      </c>
      <c r="G65" s="881">
        <v>0.1</v>
      </c>
      <c r="H65" s="881">
        <v>0.1</v>
      </c>
      <c r="I65" s="881">
        <v>0.2</v>
      </c>
      <c r="J65" s="881">
        <v>1.96</v>
      </c>
      <c r="K65" s="883">
        <v>42586</v>
      </c>
      <c r="L65" s="884" t="s">
        <v>455</v>
      </c>
      <c r="M65" s="813"/>
      <c r="N65" s="795"/>
      <c r="O65" s="891"/>
      <c r="P65" s="697"/>
      <c r="Q65" s="731"/>
      <c r="R65" s="732"/>
      <c r="S65" s="732"/>
      <c r="T65" s="732"/>
      <c r="U65" s="732"/>
      <c r="V65" s="732"/>
      <c r="W65" s="732"/>
      <c r="X65" s="732"/>
      <c r="Y65" s="732"/>
      <c r="Z65" s="732"/>
      <c r="AA65" s="732"/>
      <c r="AB65" s="732"/>
      <c r="AC65" s="732"/>
      <c r="AD65" s="697"/>
      <c r="AV65" s="697"/>
      <c r="AW65" s="697"/>
      <c r="AX65" s="697"/>
      <c r="AY65" s="697"/>
      <c r="AZ65" s="697"/>
      <c r="BA65" s="697"/>
      <c r="BB65" s="697"/>
      <c r="BC65" s="697"/>
      <c r="BD65" s="697"/>
      <c r="BE65" s="697"/>
      <c r="BF65" s="697"/>
    </row>
    <row r="66" spans="1:58" ht="30" customHeight="1" x14ac:dyDescent="0.2">
      <c r="A66" s="772"/>
      <c r="B66" s="1140"/>
      <c r="C66" s="715" t="s">
        <v>424</v>
      </c>
      <c r="D66" s="1135"/>
      <c r="E66" s="902">
        <v>2207140802024</v>
      </c>
      <c r="F66" s="716">
        <v>50.5</v>
      </c>
      <c r="G66" s="716">
        <v>0.1</v>
      </c>
      <c r="H66" s="716">
        <v>-0.5</v>
      </c>
      <c r="I66" s="716">
        <v>1.7</v>
      </c>
      <c r="J66" s="716">
        <v>1.96</v>
      </c>
      <c r="K66" s="717">
        <v>42586</v>
      </c>
      <c r="L66" s="886" t="s">
        <v>456</v>
      </c>
      <c r="M66" s="813"/>
      <c r="N66" s="795"/>
      <c r="O66" s="891"/>
      <c r="P66" s="697"/>
      <c r="Q66" s="731"/>
      <c r="R66" s="732"/>
      <c r="S66" s="732"/>
      <c r="T66" s="732"/>
      <c r="U66" s="732"/>
      <c r="V66" s="732"/>
      <c r="W66" s="732"/>
      <c r="X66" s="732"/>
      <c r="Y66" s="732"/>
      <c r="Z66" s="732"/>
      <c r="AA66" s="732"/>
      <c r="AB66" s="732"/>
      <c r="AC66" s="732"/>
      <c r="AD66" s="697"/>
      <c r="AV66" s="697"/>
      <c r="AW66" s="697"/>
      <c r="AX66" s="697"/>
      <c r="AY66" s="697"/>
      <c r="AZ66" s="697"/>
      <c r="BA66" s="697"/>
      <c r="BB66" s="697"/>
      <c r="BC66" s="697"/>
      <c r="BD66" s="697"/>
      <c r="BE66" s="697"/>
      <c r="BF66" s="697"/>
    </row>
    <row r="67" spans="1:58" ht="30" customHeight="1" thickBot="1" x14ac:dyDescent="0.25">
      <c r="A67" s="772"/>
      <c r="B67" s="1141"/>
      <c r="C67" s="786" t="s">
        <v>428</v>
      </c>
      <c r="D67" s="1136"/>
      <c r="E67" s="903">
        <v>2207140802024</v>
      </c>
      <c r="F67" s="888">
        <v>753.2</v>
      </c>
      <c r="G67" s="888">
        <v>0.1</v>
      </c>
      <c r="H67" s="888">
        <v>-0.64100000000000001</v>
      </c>
      <c r="I67" s="888">
        <v>6.4000000000000001E-2</v>
      </c>
      <c r="J67" s="888">
        <v>2</v>
      </c>
      <c r="K67" s="889">
        <v>42625</v>
      </c>
      <c r="L67" s="904" t="s">
        <v>457</v>
      </c>
      <c r="M67" s="813"/>
      <c r="N67" s="795"/>
      <c r="O67" s="891"/>
      <c r="P67" s="697"/>
      <c r="Q67" s="731"/>
      <c r="R67" s="732"/>
      <c r="S67" s="732"/>
      <c r="T67" s="732"/>
      <c r="U67" s="732"/>
      <c r="V67" s="732"/>
      <c r="W67" s="732"/>
      <c r="X67" s="732"/>
      <c r="Y67" s="732"/>
      <c r="Z67" s="732"/>
      <c r="AA67" s="732"/>
      <c r="AB67" s="732"/>
      <c r="AC67" s="732"/>
      <c r="AD67" s="697"/>
      <c r="AV67" s="697"/>
      <c r="AW67" s="697"/>
      <c r="AX67" s="697"/>
      <c r="AY67" s="697"/>
      <c r="AZ67" s="697"/>
      <c r="BA67" s="697"/>
      <c r="BB67" s="697"/>
      <c r="BC67" s="697"/>
      <c r="BD67" s="697"/>
      <c r="BE67" s="697"/>
      <c r="BF67" s="697"/>
    </row>
    <row r="68" spans="1:58" ht="30" customHeight="1" thickBot="1" x14ac:dyDescent="0.25">
      <c r="A68" s="772"/>
      <c r="B68" s="697"/>
      <c r="C68" s="712"/>
      <c r="D68" s="712"/>
      <c r="E68" s="712"/>
      <c r="F68" s="712"/>
      <c r="G68" s="712"/>
      <c r="H68" s="712"/>
      <c r="I68" s="712"/>
      <c r="J68" s="712"/>
      <c r="K68" s="841"/>
      <c r="L68" s="712"/>
      <c r="M68" s="813"/>
      <c r="N68" s="795"/>
      <c r="O68" s="891"/>
      <c r="P68" s="697"/>
      <c r="Q68" s="731"/>
      <c r="R68" s="732"/>
      <c r="S68" s="732"/>
      <c r="T68" s="732"/>
      <c r="U68" s="732"/>
      <c r="V68" s="732"/>
      <c r="W68" s="732"/>
      <c r="X68" s="732"/>
      <c r="Y68" s="732"/>
      <c r="Z68" s="732"/>
      <c r="AA68" s="732"/>
      <c r="AB68" s="732"/>
      <c r="AC68" s="732"/>
      <c r="AD68" s="697"/>
      <c r="AV68" s="697"/>
      <c r="AW68" s="697"/>
      <c r="AX68" s="697"/>
      <c r="AY68" s="697"/>
      <c r="AZ68" s="697"/>
      <c r="BA68" s="697"/>
      <c r="BB68" s="697"/>
      <c r="BC68" s="697"/>
      <c r="BD68" s="697"/>
      <c r="BE68" s="697"/>
      <c r="BF68" s="697"/>
    </row>
    <row r="69" spans="1:58" ht="30" customHeight="1" thickBot="1" x14ac:dyDescent="0.25">
      <c r="A69" s="772"/>
      <c r="B69" s="1096" t="s">
        <v>440</v>
      </c>
      <c r="C69" s="1097"/>
      <c r="D69" s="1097"/>
      <c r="E69" s="1097"/>
      <c r="F69" s="1097"/>
      <c r="G69" s="1097"/>
      <c r="H69" s="1097"/>
      <c r="I69" s="1097"/>
      <c r="J69" s="1097"/>
      <c r="K69" s="1097"/>
      <c r="L69" s="1098"/>
      <c r="M69" s="813"/>
      <c r="N69" s="795"/>
      <c r="O69" s="891"/>
      <c r="P69" s="697"/>
      <c r="Q69" s="731"/>
      <c r="R69" s="732"/>
      <c r="S69" s="732"/>
      <c r="T69" s="732"/>
      <c r="U69" s="732"/>
      <c r="V69" s="732"/>
      <c r="W69" s="732"/>
      <c r="X69" s="732"/>
      <c r="Y69" s="732"/>
      <c r="Z69" s="732"/>
      <c r="AA69" s="732"/>
      <c r="AB69" s="732"/>
      <c r="AC69" s="732"/>
      <c r="AD69" s="697"/>
      <c r="AV69" s="697"/>
      <c r="AW69" s="697"/>
      <c r="AX69" s="697"/>
      <c r="AY69" s="697"/>
      <c r="AZ69" s="697"/>
      <c r="BA69" s="697"/>
      <c r="BB69" s="697"/>
      <c r="BC69" s="697"/>
      <c r="BD69" s="697"/>
      <c r="BE69" s="697"/>
      <c r="BF69" s="697"/>
    </row>
    <row r="70" spans="1:58" ht="60" customHeight="1" thickBot="1" x14ac:dyDescent="0.25">
      <c r="A70" s="772"/>
      <c r="B70" s="697"/>
      <c r="C70" s="842"/>
      <c r="D70" s="873" t="s">
        <v>55</v>
      </c>
      <c r="E70" s="874" t="s">
        <v>353</v>
      </c>
      <c r="F70" s="873" t="s">
        <v>352</v>
      </c>
      <c r="G70" s="873" t="s">
        <v>244</v>
      </c>
      <c r="H70" s="873" t="s">
        <v>306</v>
      </c>
      <c r="I70" s="873" t="s">
        <v>241</v>
      </c>
      <c r="J70" s="873" t="s">
        <v>307</v>
      </c>
      <c r="K70" s="875" t="s">
        <v>243</v>
      </c>
      <c r="L70" s="819" t="s">
        <v>375</v>
      </c>
      <c r="M70" s="813"/>
      <c r="N70" s="795"/>
      <c r="O70" s="891"/>
      <c r="P70" s="697"/>
      <c r="Q70" s="731"/>
      <c r="R70" s="732"/>
      <c r="S70" s="732"/>
      <c r="T70" s="732"/>
      <c r="U70" s="732"/>
      <c r="V70" s="732"/>
      <c r="W70" s="732"/>
      <c r="X70" s="732"/>
      <c r="Y70" s="732"/>
      <c r="Z70" s="732"/>
      <c r="AA70" s="732"/>
      <c r="AB70" s="732"/>
      <c r="AC70" s="732"/>
      <c r="AD70" s="697"/>
      <c r="AV70" s="697"/>
      <c r="AW70" s="697"/>
      <c r="AX70" s="697"/>
      <c r="AY70" s="697"/>
      <c r="AZ70" s="697"/>
      <c r="BA70" s="697"/>
      <c r="BB70" s="697"/>
      <c r="BC70" s="697"/>
      <c r="BD70" s="697"/>
      <c r="BE70" s="697"/>
      <c r="BF70" s="697"/>
    </row>
    <row r="71" spans="1:58" ht="30" customHeight="1" thickBot="1" x14ac:dyDescent="0.25">
      <c r="A71" s="772"/>
      <c r="B71" s="1137" t="s">
        <v>258</v>
      </c>
      <c r="C71" s="905"/>
      <c r="D71" s="906"/>
      <c r="E71" s="907"/>
      <c r="F71" s="907"/>
      <c r="G71" s="907"/>
      <c r="H71" s="907"/>
      <c r="I71" s="907"/>
      <c r="J71" s="907"/>
      <c r="K71" s="908"/>
      <c r="L71" s="794"/>
      <c r="M71" s="813"/>
      <c r="N71" s="795"/>
      <c r="O71" s="891"/>
      <c r="P71" s="697"/>
      <c r="Q71" s="731"/>
      <c r="R71" s="732"/>
      <c r="S71" s="732"/>
      <c r="T71" s="732"/>
      <c r="U71" s="732"/>
      <c r="V71" s="732"/>
      <c r="W71" s="732"/>
      <c r="X71" s="732"/>
      <c r="Y71" s="732"/>
      <c r="Z71" s="732"/>
      <c r="AA71" s="732"/>
      <c r="AB71" s="732"/>
      <c r="AC71" s="732"/>
      <c r="AD71" s="697"/>
      <c r="AV71" s="697"/>
      <c r="AW71" s="697"/>
      <c r="AX71" s="697"/>
      <c r="AY71" s="697"/>
      <c r="AZ71" s="697"/>
      <c r="BA71" s="697"/>
      <c r="BB71" s="697"/>
      <c r="BC71" s="697"/>
      <c r="BD71" s="697"/>
      <c r="BE71" s="697"/>
      <c r="BF71" s="697"/>
    </row>
    <row r="72" spans="1:58" ht="30" customHeight="1" x14ac:dyDescent="0.2">
      <c r="A72" s="772"/>
      <c r="B72" s="1129"/>
      <c r="C72" s="849" t="s">
        <v>293</v>
      </c>
      <c r="D72" s="909" t="s">
        <v>366</v>
      </c>
      <c r="E72" s="738">
        <v>107</v>
      </c>
      <c r="F72" s="881">
        <v>5.0199999999999996</v>
      </c>
      <c r="G72" s="881">
        <v>0.1</v>
      </c>
      <c r="H72" s="881">
        <v>0.02</v>
      </c>
      <c r="I72" s="910">
        <v>0.02</v>
      </c>
      <c r="J72" s="881">
        <v>2.02</v>
      </c>
      <c r="K72" s="883">
        <v>42523</v>
      </c>
      <c r="L72" s="911" t="s">
        <v>458</v>
      </c>
      <c r="M72" s="813"/>
      <c r="N72" s="795"/>
      <c r="O72" s="891"/>
      <c r="P72" s="697"/>
      <c r="Q72" s="731"/>
      <c r="R72" s="732"/>
      <c r="S72" s="732"/>
      <c r="T72" s="732"/>
      <c r="U72" s="732"/>
      <c r="V72" s="732"/>
      <c r="W72" s="732"/>
      <c r="X72" s="732"/>
      <c r="Y72" s="732"/>
      <c r="Z72" s="732"/>
      <c r="AA72" s="732"/>
      <c r="AB72" s="732"/>
      <c r="AC72" s="732"/>
      <c r="AD72" s="697"/>
      <c r="AV72" s="697"/>
      <c r="AW72" s="697"/>
      <c r="AX72" s="697"/>
      <c r="AY72" s="697"/>
      <c r="AZ72" s="697"/>
      <c r="BA72" s="697"/>
      <c r="BB72" s="697"/>
      <c r="BC72" s="697"/>
      <c r="BD72" s="697"/>
      <c r="BE72" s="697"/>
      <c r="BF72" s="697"/>
    </row>
    <row r="73" spans="1:58" ht="30" customHeight="1" x14ac:dyDescent="0.2">
      <c r="A73" s="772"/>
      <c r="B73" s="1129"/>
      <c r="C73" s="912" t="s">
        <v>294</v>
      </c>
      <c r="D73" s="913" t="s">
        <v>365</v>
      </c>
      <c r="E73" s="718">
        <v>27760</v>
      </c>
      <c r="F73" s="716">
        <v>5.0199999999999996</v>
      </c>
      <c r="G73" s="716">
        <v>0.05</v>
      </c>
      <c r="H73" s="716">
        <v>0.02</v>
      </c>
      <c r="I73" s="716">
        <v>3.7999999999999999E-2</v>
      </c>
      <c r="J73" s="781">
        <v>2</v>
      </c>
      <c r="K73" s="717">
        <v>43027</v>
      </c>
      <c r="L73" s="914" t="s">
        <v>461</v>
      </c>
      <c r="M73" s="813"/>
      <c r="N73" s="795"/>
      <c r="O73" s="891"/>
      <c r="P73" s="697"/>
      <c r="Q73" s="731"/>
      <c r="R73" s="732"/>
      <c r="S73" s="732"/>
      <c r="T73" s="732"/>
      <c r="U73" s="732"/>
      <c r="V73" s="732"/>
      <c r="W73" s="732"/>
      <c r="X73" s="732"/>
      <c r="Y73" s="732"/>
      <c r="Z73" s="732"/>
      <c r="AA73" s="732"/>
      <c r="AB73" s="732"/>
      <c r="AC73" s="732"/>
      <c r="AD73" s="697"/>
      <c r="AV73" s="697"/>
      <c r="AW73" s="697"/>
      <c r="AX73" s="697"/>
      <c r="AY73" s="697"/>
      <c r="AZ73" s="697"/>
      <c r="BA73" s="697"/>
      <c r="BB73" s="697"/>
      <c r="BC73" s="697"/>
      <c r="BD73" s="697"/>
      <c r="BE73" s="697"/>
      <c r="BF73" s="697"/>
    </row>
    <row r="74" spans="1:58" ht="30" customHeight="1" x14ac:dyDescent="0.2">
      <c r="A74" s="772"/>
      <c r="B74" s="1129"/>
      <c r="C74" s="912" t="s">
        <v>295</v>
      </c>
      <c r="D74" s="913" t="s">
        <v>367</v>
      </c>
      <c r="E74" s="718">
        <v>713</v>
      </c>
      <c r="F74" s="716">
        <v>10.039999999999999</v>
      </c>
      <c r="G74" s="716">
        <v>0.1</v>
      </c>
      <c r="H74" s="716">
        <v>0.04</v>
      </c>
      <c r="I74" s="716">
        <v>1.9E-2</v>
      </c>
      <c r="J74" s="716">
        <v>2.02</v>
      </c>
      <c r="K74" s="717">
        <v>42523</v>
      </c>
      <c r="L74" s="914" t="s">
        <v>459</v>
      </c>
      <c r="M74" s="813"/>
      <c r="N74" s="795"/>
      <c r="O74" s="891"/>
      <c r="P74" s="697"/>
      <c r="Q74" s="731"/>
      <c r="R74" s="732"/>
      <c r="S74" s="732"/>
      <c r="T74" s="732"/>
      <c r="U74" s="732"/>
      <c r="V74" s="732"/>
      <c r="W74" s="732"/>
      <c r="X74" s="732"/>
      <c r="Y74" s="732"/>
      <c r="Z74" s="732"/>
      <c r="AA74" s="732"/>
      <c r="AB74" s="732"/>
      <c r="AC74" s="732"/>
      <c r="AD74" s="697"/>
      <c r="AV74" s="697"/>
      <c r="AW74" s="697"/>
      <c r="AX74" s="697"/>
      <c r="AY74" s="697"/>
      <c r="AZ74" s="697"/>
      <c r="BA74" s="697"/>
      <c r="BB74" s="697"/>
      <c r="BC74" s="697"/>
      <c r="BD74" s="697"/>
      <c r="BE74" s="697"/>
      <c r="BF74" s="697"/>
    </row>
    <row r="75" spans="1:58" ht="30" customHeight="1" x14ac:dyDescent="0.2">
      <c r="A75" s="772"/>
      <c r="B75" s="1129"/>
      <c r="C75" s="912" t="s">
        <v>296</v>
      </c>
      <c r="D75" s="913" t="s">
        <v>365</v>
      </c>
      <c r="E75" s="718">
        <v>27761</v>
      </c>
      <c r="F75" s="716">
        <v>10.02</v>
      </c>
      <c r="G75" s="716">
        <v>0.1</v>
      </c>
      <c r="H75" s="716">
        <v>0.02</v>
      </c>
      <c r="I75" s="716">
        <v>6.7000000000000004E-2</v>
      </c>
      <c r="J75" s="781">
        <v>2</v>
      </c>
      <c r="K75" s="717">
        <v>43020</v>
      </c>
      <c r="L75" s="914" t="s">
        <v>462</v>
      </c>
      <c r="M75" s="813"/>
      <c r="N75" s="795"/>
      <c r="O75" s="891"/>
      <c r="P75" s="697"/>
      <c r="Q75" s="731"/>
      <c r="R75" s="732"/>
      <c r="S75" s="732"/>
      <c r="T75" s="732"/>
      <c r="U75" s="732"/>
      <c r="V75" s="732"/>
      <c r="W75" s="732"/>
      <c r="X75" s="732"/>
      <c r="Y75" s="732"/>
      <c r="Z75" s="732"/>
      <c r="AA75" s="732"/>
      <c r="AB75" s="732"/>
      <c r="AC75" s="732"/>
      <c r="AD75" s="697"/>
      <c r="AV75" s="697"/>
      <c r="AW75" s="697"/>
      <c r="AX75" s="697"/>
      <c r="AY75" s="697"/>
      <c r="AZ75" s="697"/>
      <c r="BA75" s="697"/>
      <c r="BB75" s="697"/>
      <c r="BC75" s="697"/>
      <c r="BD75" s="697"/>
      <c r="BE75" s="697"/>
      <c r="BF75" s="697"/>
    </row>
    <row r="76" spans="1:58" ht="30" customHeight="1" thickBot="1" x14ac:dyDescent="0.25">
      <c r="A76" s="772"/>
      <c r="B76" s="1130"/>
      <c r="C76" s="915" t="s">
        <v>297</v>
      </c>
      <c r="D76" s="916" t="s">
        <v>365</v>
      </c>
      <c r="E76" s="917">
        <v>27762</v>
      </c>
      <c r="F76" s="888">
        <v>24.9</v>
      </c>
      <c r="G76" s="888">
        <v>0.1</v>
      </c>
      <c r="H76" s="888">
        <v>-0.1</v>
      </c>
      <c r="I76" s="888">
        <v>6.5000000000000002E-2</v>
      </c>
      <c r="J76" s="918">
        <v>2</v>
      </c>
      <c r="K76" s="889">
        <v>43025</v>
      </c>
      <c r="L76" s="919" t="s">
        <v>463</v>
      </c>
      <c r="M76" s="813"/>
      <c r="N76" s="795"/>
      <c r="O76" s="891"/>
      <c r="P76" s="697"/>
      <c r="Q76" s="731"/>
      <c r="R76" s="732"/>
      <c r="S76" s="732"/>
      <c r="T76" s="732"/>
      <c r="U76" s="732"/>
      <c r="V76" s="732"/>
      <c r="W76" s="732"/>
      <c r="X76" s="732"/>
      <c r="Y76" s="732"/>
      <c r="Z76" s="732"/>
      <c r="AA76" s="732"/>
      <c r="AB76" s="732"/>
      <c r="AC76" s="732"/>
      <c r="AD76" s="697"/>
      <c r="AV76" s="697"/>
      <c r="AW76" s="697"/>
      <c r="AX76" s="697"/>
      <c r="AY76" s="697"/>
      <c r="AZ76" s="697"/>
      <c r="BA76" s="697"/>
      <c r="BB76" s="697"/>
      <c r="BC76" s="697"/>
      <c r="BD76" s="697"/>
      <c r="BE76" s="697"/>
      <c r="BF76" s="697"/>
    </row>
    <row r="77" spans="1:58" ht="30" customHeight="1" thickBot="1" x14ac:dyDescent="0.25">
      <c r="A77" s="772"/>
      <c r="B77" s="697"/>
      <c r="C77" s="712"/>
      <c r="D77" s="712"/>
      <c r="E77" s="712"/>
      <c r="F77" s="712"/>
      <c r="G77" s="712"/>
      <c r="H77" s="712"/>
      <c r="I77" s="712"/>
      <c r="J77" s="712"/>
      <c r="K77" s="841"/>
      <c r="L77" s="712"/>
      <c r="M77" s="813"/>
      <c r="N77" s="795"/>
      <c r="O77" s="891"/>
      <c r="P77" s="697"/>
      <c r="Q77" s="731"/>
      <c r="R77" s="732"/>
      <c r="S77" s="732"/>
      <c r="T77" s="732"/>
      <c r="U77" s="732"/>
      <c r="V77" s="732"/>
      <c r="W77" s="732"/>
      <c r="X77" s="732"/>
      <c r="Y77" s="732"/>
      <c r="Z77" s="732"/>
      <c r="AA77" s="732"/>
      <c r="AB77" s="732"/>
      <c r="AC77" s="732"/>
      <c r="AD77" s="697"/>
      <c r="AV77" s="697"/>
      <c r="AW77" s="697"/>
      <c r="AX77" s="697"/>
      <c r="AY77" s="697"/>
      <c r="AZ77" s="697"/>
      <c r="BA77" s="697"/>
      <c r="BB77" s="697"/>
      <c r="BC77" s="697"/>
      <c r="BD77" s="697"/>
      <c r="BE77" s="697"/>
      <c r="BF77" s="697"/>
    </row>
    <row r="78" spans="1:58" ht="30" customHeight="1" thickBot="1" x14ac:dyDescent="0.25">
      <c r="A78" s="772"/>
      <c r="B78" s="1096" t="s">
        <v>440</v>
      </c>
      <c r="C78" s="1097"/>
      <c r="D78" s="1097"/>
      <c r="E78" s="1097"/>
      <c r="F78" s="1097"/>
      <c r="G78" s="1097"/>
      <c r="H78" s="1097"/>
      <c r="I78" s="1097"/>
      <c r="J78" s="1097"/>
      <c r="K78" s="1097"/>
      <c r="L78" s="1098"/>
      <c r="M78" s="813"/>
      <c r="N78" s="795"/>
      <c r="O78" s="891"/>
      <c r="P78" s="697"/>
      <c r="Q78" s="731"/>
      <c r="R78" s="732"/>
      <c r="S78" s="732"/>
      <c r="T78" s="732"/>
      <c r="U78" s="732"/>
      <c r="V78" s="732"/>
      <c r="W78" s="732"/>
      <c r="X78" s="732"/>
      <c r="Y78" s="732"/>
      <c r="Z78" s="732"/>
      <c r="AA78" s="732"/>
      <c r="AB78" s="732"/>
      <c r="AC78" s="732"/>
      <c r="AD78" s="697"/>
      <c r="AV78" s="697"/>
      <c r="AW78" s="697"/>
      <c r="AX78" s="697"/>
      <c r="AY78" s="697"/>
      <c r="AZ78" s="697"/>
      <c r="BA78" s="697"/>
      <c r="BB78" s="697"/>
      <c r="BC78" s="697"/>
      <c r="BD78" s="697"/>
      <c r="BE78" s="697"/>
      <c r="BF78" s="697"/>
    </row>
    <row r="79" spans="1:58" ht="60" customHeight="1" thickBot="1" x14ac:dyDescent="0.25">
      <c r="A79" s="772"/>
      <c r="B79" s="697"/>
      <c r="C79" s="842"/>
      <c r="D79" s="873" t="s">
        <v>55</v>
      </c>
      <c r="E79" s="874" t="s">
        <v>351</v>
      </c>
      <c r="F79" s="873" t="s">
        <v>352</v>
      </c>
      <c r="G79" s="873" t="s">
        <v>244</v>
      </c>
      <c r="H79" s="873" t="s">
        <v>306</v>
      </c>
      <c r="I79" s="873" t="s">
        <v>241</v>
      </c>
      <c r="J79" s="873" t="s">
        <v>307</v>
      </c>
      <c r="K79" s="875" t="s">
        <v>243</v>
      </c>
      <c r="L79" s="819" t="s">
        <v>375</v>
      </c>
      <c r="M79" s="813"/>
      <c r="N79" s="795"/>
      <c r="O79" s="891"/>
      <c r="P79" s="697"/>
      <c r="Q79" s="731"/>
      <c r="R79" s="732"/>
      <c r="S79" s="732"/>
      <c r="T79" s="732"/>
      <c r="U79" s="732"/>
      <c r="V79" s="732"/>
      <c r="W79" s="732"/>
      <c r="X79" s="732"/>
      <c r="Y79" s="732"/>
      <c r="Z79" s="732"/>
      <c r="AA79" s="732"/>
      <c r="AB79" s="732"/>
      <c r="AC79" s="732"/>
      <c r="AD79" s="697"/>
      <c r="AV79" s="697"/>
      <c r="AW79" s="697"/>
      <c r="AX79" s="697"/>
      <c r="AY79" s="697"/>
      <c r="AZ79" s="697"/>
      <c r="BA79" s="697"/>
      <c r="BB79" s="697"/>
      <c r="BC79" s="697"/>
      <c r="BD79" s="697"/>
      <c r="BE79" s="697"/>
      <c r="BF79" s="697"/>
    </row>
    <row r="80" spans="1:58" ht="30" customHeight="1" thickBot="1" x14ac:dyDescent="0.25">
      <c r="A80" s="772"/>
      <c r="B80" s="1128" t="s">
        <v>259</v>
      </c>
      <c r="C80" s="905"/>
      <c r="D80" s="920"/>
      <c r="E80" s="840"/>
      <c r="F80" s="840"/>
      <c r="G80" s="840"/>
      <c r="H80" s="840"/>
      <c r="I80" s="840"/>
      <c r="J80" s="840"/>
      <c r="K80" s="921"/>
      <c r="L80" s="794"/>
      <c r="M80" s="813"/>
      <c r="N80" s="795"/>
      <c r="O80" s="891"/>
      <c r="P80" s="697"/>
      <c r="Q80" s="731"/>
      <c r="R80" s="732"/>
      <c r="S80" s="732"/>
      <c r="T80" s="732"/>
      <c r="U80" s="732"/>
      <c r="V80" s="732"/>
      <c r="W80" s="732"/>
      <c r="X80" s="732"/>
      <c r="Y80" s="732"/>
      <c r="Z80" s="732"/>
      <c r="AA80" s="732"/>
      <c r="AB80" s="732"/>
      <c r="AC80" s="732"/>
      <c r="AD80" s="697"/>
      <c r="AV80" s="697"/>
      <c r="AW80" s="697"/>
      <c r="AX80" s="697"/>
      <c r="AY80" s="697"/>
      <c r="AZ80" s="697"/>
      <c r="BA80" s="697"/>
      <c r="BB80" s="697"/>
      <c r="BC80" s="697"/>
      <c r="BD80" s="697"/>
      <c r="BE80" s="697"/>
      <c r="BF80" s="697"/>
    </row>
    <row r="81" spans="1:58" ht="30" customHeight="1" x14ac:dyDescent="0.2">
      <c r="A81" s="772"/>
      <c r="B81" s="1129"/>
      <c r="C81" s="849" t="s">
        <v>298</v>
      </c>
      <c r="D81" s="909" t="s">
        <v>368</v>
      </c>
      <c r="E81" s="738" t="s">
        <v>464</v>
      </c>
      <c r="F81" s="881" t="s">
        <v>265</v>
      </c>
      <c r="G81" s="882">
        <v>1</v>
      </c>
      <c r="H81" s="881">
        <v>0.27</v>
      </c>
      <c r="I81" s="922">
        <v>0.17</v>
      </c>
      <c r="J81" s="922">
        <v>2.1</v>
      </c>
      <c r="K81" s="883">
        <v>42523</v>
      </c>
      <c r="L81" s="911" t="s">
        <v>460</v>
      </c>
      <c r="M81" s="813"/>
      <c r="N81" s="795"/>
      <c r="O81" s="891"/>
      <c r="P81" s="697"/>
      <c r="Q81" s="731"/>
      <c r="R81" s="732"/>
      <c r="S81" s="732"/>
      <c r="T81" s="732"/>
      <c r="U81" s="732"/>
      <c r="V81" s="732"/>
      <c r="W81" s="732"/>
      <c r="X81" s="732"/>
      <c r="Y81" s="732"/>
      <c r="Z81" s="732"/>
      <c r="AA81" s="732"/>
      <c r="AB81" s="732"/>
      <c r="AC81" s="732"/>
      <c r="AD81" s="697"/>
      <c r="AV81" s="697"/>
      <c r="AW81" s="697"/>
      <c r="AX81" s="697"/>
      <c r="AY81" s="697"/>
      <c r="AZ81" s="697"/>
      <c r="BA81" s="697"/>
      <c r="BB81" s="697"/>
      <c r="BC81" s="697"/>
      <c r="BD81" s="697"/>
      <c r="BE81" s="697"/>
      <c r="BF81" s="697"/>
    </row>
    <row r="82" spans="1:58" ht="30" customHeight="1" x14ac:dyDescent="0.2">
      <c r="A82" s="772"/>
      <c r="B82" s="1129"/>
      <c r="C82" s="912" t="s">
        <v>299</v>
      </c>
      <c r="D82" s="913" t="s">
        <v>365</v>
      </c>
      <c r="E82" s="718">
        <v>27755</v>
      </c>
      <c r="F82" s="716">
        <v>499.68</v>
      </c>
      <c r="G82" s="781">
        <v>5</v>
      </c>
      <c r="H82" s="716">
        <v>-0.32</v>
      </c>
      <c r="I82" s="716">
        <v>2.9</v>
      </c>
      <c r="J82" s="781">
        <v>2</v>
      </c>
      <c r="K82" s="717">
        <v>43010</v>
      </c>
      <c r="L82" s="923" t="s">
        <v>465</v>
      </c>
      <c r="M82" s="813"/>
      <c r="N82" s="795"/>
      <c r="O82" s="891"/>
      <c r="P82" s="697"/>
      <c r="Q82" s="731"/>
      <c r="R82" s="732"/>
      <c r="S82" s="732"/>
      <c r="T82" s="732"/>
      <c r="U82" s="732"/>
      <c r="V82" s="732"/>
      <c r="W82" s="732"/>
      <c r="X82" s="732"/>
      <c r="Y82" s="732"/>
      <c r="Z82" s="732"/>
      <c r="AA82" s="732"/>
      <c r="AB82" s="732"/>
      <c r="AC82" s="732"/>
      <c r="AD82" s="697"/>
      <c r="AV82" s="697"/>
      <c r="AW82" s="697"/>
      <c r="AX82" s="697"/>
      <c r="AY82" s="697"/>
      <c r="AZ82" s="697"/>
      <c r="BA82" s="697"/>
      <c r="BB82" s="697"/>
      <c r="BC82" s="697"/>
      <c r="BD82" s="697"/>
      <c r="BE82" s="697"/>
      <c r="BF82" s="697"/>
    </row>
    <row r="83" spans="1:58" ht="30" customHeight="1" x14ac:dyDescent="0.2">
      <c r="A83" s="772"/>
      <c r="B83" s="1129"/>
      <c r="C83" s="912" t="s">
        <v>300</v>
      </c>
      <c r="D83" s="913" t="s">
        <v>365</v>
      </c>
      <c r="E83" s="716">
        <v>27756</v>
      </c>
      <c r="F83" s="716">
        <v>500.25</v>
      </c>
      <c r="G83" s="781">
        <v>5</v>
      </c>
      <c r="H83" s="716">
        <v>0.25</v>
      </c>
      <c r="I83" s="716">
        <v>2.9</v>
      </c>
      <c r="J83" s="781">
        <v>2</v>
      </c>
      <c r="K83" s="717">
        <v>43011</v>
      </c>
      <c r="L83" s="923" t="s">
        <v>466</v>
      </c>
      <c r="M83" s="813"/>
      <c r="N83" s="795"/>
      <c r="O83" s="891"/>
      <c r="P83" s="697"/>
      <c r="Q83" s="731"/>
      <c r="R83" s="732"/>
      <c r="S83" s="732"/>
      <c r="T83" s="732"/>
      <c r="U83" s="732"/>
      <c r="V83" s="732"/>
      <c r="W83" s="732"/>
      <c r="X83" s="732"/>
      <c r="Y83" s="732"/>
      <c r="Z83" s="732"/>
      <c r="AA83" s="732"/>
      <c r="AB83" s="732"/>
      <c r="AC83" s="732"/>
      <c r="AD83" s="697"/>
      <c r="AV83" s="697"/>
      <c r="AW83" s="697"/>
      <c r="AX83" s="697"/>
      <c r="AY83" s="697"/>
      <c r="AZ83" s="697"/>
      <c r="BA83" s="697"/>
      <c r="BB83" s="697"/>
      <c r="BC83" s="697"/>
      <c r="BD83" s="697"/>
      <c r="BE83" s="697"/>
      <c r="BF83" s="697"/>
    </row>
    <row r="84" spans="1:58" ht="30" customHeight="1" x14ac:dyDescent="0.2">
      <c r="A84" s="772"/>
      <c r="B84" s="1129"/>
      <c r="C84" s="912" t="s">
        <v>301</v>
      </c>
      <c r="D84" s="913" t="s">
        <v>365</v>
      </c>
      <c r="E84" s="716">
        <v>27757</v>
      </c>
      <c r="F84" s="716">
        <v>500.46</v>
      </c>
      <c r="G84" s="781">
        <v>5</v>
      </c>
      <c r="H84" s="716">
        <v>0.46</v>
      </c>
      <c r="I84" s="716">
        <v>2.9</v>
      </c>
      <c r="J84" s="781">
        <v>2</v>
      </c>
      <c r="K84" s="717">
        <v>43017</v>
      </c>
      <c r="L84" s="923" t="s">
        <v>467</v>
      </c>
      <c r="M84" s="813"/>
      <c r="N84" s="795"/>
      <c r="O84" s="891"/>
      <c r="P84" s="697"/>
      <c r="Q84" s="731"/>
      <c r="R84" s="732"/>
      <c r="S84" s="732"/>
      <c r="T84" s="732"/>
      <c r="U84" s="732"/>
      <c r="V84" s="732"/>
      <c r="W84" s="732"/>
      <c r="X84" s="732"/>
      <c r="Y84" s="732"/>
      <c r="Z84" s="732"/>
      <c r="AA84" s="732"/>
      <c r="AB84" s="732"/>
      <c r="AC84" s="732"/>
      <c r="AD84" s="697"/>
      <c r="AV84" s="697"/>
      <c r="AW84" s="697"/>
      <c r="AX84" s="697"/>
      <c r="AY84" s="697"/>
      <c r="AZ84" s="697"/>
      <c r="BA84" s="697"/>
      <c r="BB84" s="697"/>
      <c r="BC84" s="697"/>
      <c r="BD84" s="697"/>
      <c r="BE84" s="697"/>
      <c r="BF84" s="697"/>
    </row>
    <row r="85" spans="1:58" ht="30" customHeight="1" x14ac:dyDescent="0.2">
      <c r="A85" s="772"/>
      <c r="B85" s="1129"/>
      <c r="C85" s="912" t="s">
        <v>302</v>
      </c>
      <c r="D85" s="913" t="s">
        <v>365</v>
      </c>
      <c r="E85" s="716">
        <v>27758</v>
      </c>
      <c r="F85" s="716">
        <v>500.34800000000001</v>
      </c>
      <c r="G85" s="781">
        <v>5</v>
      </c>
      <c r="H85" s="716">
        <v>0.34799999999999998</v>
      </c>
      <c r="I85" s="716">
        <v>3.5000000000000003E-2</v>
      </c>
      <c r="J85" s="716">
        <v>2</v>
      </c>
      <c r="K85" s="717">
        <v>42769</v>
      </c>
      <c r="L85" s="923" t="s">
        <v>468</v>
      </c>
      <c r="M85" s="813"/>
      <c r="N85" s="795"/>
      <c r="O85" s="891"/>
      <c r="P85" s="697"/>
      <c r="Q85" s="731"/>
      <c r="R85" s="732"/>
      <c r="S85" s="732"/>
      <c r="T85" s="732"/>
      <c r="U85" s="732"/>
      <c r="V85" s="732"/>
      <c r="W85" s="732"/>
      <c r="X85" s="732"/>
      <c r="Y85" s="732"/>
      <c r="Z85" s="732"/>
      <c r="AA85" s="732"/>
      <c r="AB85" s="732"/>
      <c r="AC85" s="732"/>
      <c r="AD85" s="697"/>
      <c r="AV85" s="697"/>
      <c r="AW85" s="697"/>
      <c r="AX85" s="697"/>
      <c r="AY85" s="697"/>
      <c r="AZ85" s="697"/>
      <c r="BA85" s="697"/>
      <c r="BB85" s="697"/>
      <c r="BC85" s="697"/>
      <c r="BD85" s="697"/>
      <c r="BE85" s="697"/>
      <c r="BF85" s="697"/>
    </row>
    <row r="86" spans="1:58" ht="30" customHeight="1" thickBot="1" x14ac:dyDescent="0.25">
      <c r="A86" s="772"/>
      <c r="B86" s="1130"/>
      <c r="C86" s="915" t="s">
        <v>303</v>
      </c>
      <c r="D86" s="916" t="s">
        <v>365</v>
      </c>
      <c r="E86" s="888">
        <v>27759</v>
      </c>
      <c r="F86" s="888">
        <v>1000.625</v>
      </c>
      <c r="G86" s="918">
        <v>10</v>
      </c>
      <c r="H86" s="888">
        <v>0.625</v>
      </c>
      <c r="I86" s="888">
        <v>3.9E-2</v>
      </c>
      <c r="J86" s="888">
        <v>2</v>
      </c>
      <c r="K86" s="889">
        <v>42769</v>
      </c>
      <c r="L86" s="924" t="s">
        <v>469</v>
      </c>
      <c r="M86" s="813"/>
      <c r="N86" s="795"/>
      <c r="O86" s="891"/>
      <c r="P86" s="697"/>
      <c r="Q86" s="731"/>
      <c r="R86" s="732"/>
      <c r="S86" s="732"/>
      <c r="T86" s="732"/>
      <c r="U86" s="732"/>
      <c r="V86" s="732"/>
      <c r="W86" s="732"/>
      <c r="X86" s="732"/>
      <c r="Y86" s="732"/>
      <c r="Z86" s="732"/>
      <c r="AA86" s="732"/>
      <c r="AB86" s="732"/>
      <c r="AC86" s="732"/>
      <c r="AD86" s="697"/>
      <c r="AV86" s="697"/>
      <c r="AW86" s="697"/>
      <c r="AX86" s="697"/>
      <c r="AY86" s="697"/>
      <c r="AZ86" s="697"/>
      <c r="BA86" s="697"/>
      <c r="BB86" s="697"/>
      <c r="BC86" s="697"/>
      <c r="BD86" s="697"/>
      <c r="BE86" s="697"/>
      <c r="BF86" s="697"/>
    </row>
    <row r="87" spans="1:58" ht="30" customHeight="1" thickBot="1" x14ac:dyDescent="0.25">
      <c r="A87" s="772"/>
      <c r="B87" s="697"/>
      <c r="C87" s="712"/>
      <c r="D87" s="712"/>
      <c r="E87" s="712"/>
      <c r="F87" s="712"/>
      <c r="G87" s="712"/>
      <c r="H87" s="712"/>
      <c r="I87" s="712"/>
      <c r="J87" s="712"/>
      <c r="K87" s="841"/>
      <c r="L87" s="712"/>
      <c r="M87" s="813"/>
      <c r="N87" s="795"/>
      <c r="O87" s="891"/>
      <c r="P87" s="697"/>
      <c r="Q87" s="731"/>
      <c r="R87" s="732"/>
      <c r="S87" s="732"/>
      <c r="T87" s="732"/>
      <c r="U87" s="732"/>
      <c r="V87" s="732"/>
      <c r="W87" s="732"/>
      <c r="X87" s="732"/>
      <c r="Y87" s="732"/>
      <c r="Z87" s="732"/>
      <c r="AA87" s="732"/>
      <c r="AB87" s="732"/>
      <c r="AC87" s="732"/>
      <c r="AD87" s="697"/>
      <c r="AV87" s="697"/>
      <c r="AW87" s="697"/>
      <c r="AX87" s="697"/>
      <c r="AY87" s="697"/>
      <c r="AZ87" s="697"/>
      <c r="BA87" s="697"/>
      <c r="BB87" s="697"/>
      <c r="BC87" s="697"/>
      <c r="BD87" s="697"/>
      <c r="BE87" s="697"/>
      <c r="BF87" s="697"/>
    </row>
    <row r="88" spans="1:58" ht="30" customHeight="1" thickBot="1" x14ac:dyDescent="0.25">
      <c r="A88" s="772"/>
      <c r="B88" s="1096" t="s">
        <v>271</v>
      </c>
      <c r="C88" s="1097"/>
      <c r="D88" s="1097"/>
      <c r="E88" s="1097"/>
      <c r="F88" s="1097"/>
      <c r="G88" s="1097"/>
      <c r="H88" s="1097"/>
      <c r="I88" s="1097"/>
      <c r="J88" s="1097"/>
      <c r="K88" s="1097"/>
      <c r="L88" s="1098"/>
      <c r="M88" s="813"/>
      <c r="N88" s="795"/>
      <c r="O88" s="891"/>
      <c r="P88" s="697"/>
      <c r="Q88" s="731"/>
      <c r="R88" s="732"/>
      <c r="S88" s="732"/>
      <c r="T88" s="732"/>
      <c r="U88" s="732"/>
      <c r="V88" s="732"/>
      <c r="W88" s="732"/>
      <c r="X88" s="732"/>
      <c r="Y88" s="732"/>
      <c r="Z88" s="732"/>
      <c r="AA88" s="732"/>
      <c r="AB88" s="732"/>
      <c r="AC88" s="732"/>
      <c r="AD88" s="697"/>
      <c r="AV88" s="697"/>
      <c r="AW88" s="697"/>
      <c r="AX88" s="697"/>
      <c r="AY88" s="697"/>
      <c r="AZ88" s="697"/>
      <c r="BA88" s="697"/>
      <c r="BB88" s="697"/>
      <c r="BC88" s="697"/>
      <c r="BD88" s="697"/>
      <c r="BE88" s="697"/>
      <c r="BF88" s="697"/>
    </row>
    <row r="89" spans="1:58" ht="60" customHeight="1" thickBot="1" x14ac:dyDescent="0.25">
      <c r="A89" s="772"/>
      <c r="B89" s="1119" t="s">
        <v>260</v>
      </c>
      <c r="C89" s="842"/>
      <c r="D89" s="873" t="s">
        <v>55</v>
      </c>
      <c r="E89" s="874" t="s">
        <v>353</v>
      </c>
      <c r="F89" s="873" t="s">
        <v>352</v>
      </c>
      <c r="G89" s="873" t="s">
        <v>244</v>
      </c>
      <c r="H89" s="873" t="s">
        <v>306</v>
      </c>
      <c r="I89" s="873" t="s">
        <v>241</v>
      </c>
      <c r="J89" s="873" t="s">
        <v>307</v>
      </c>
      <c r="K89" s="875" t="s">
        <v>243</v>
      </c>
      <c r="L89" s="819" t="s">
        <v>375</v>
      </c>
      <c r="M89" s="813"/>
      <c r="N89" s="795"/>
      <c r="O89" s="891"/>
      <c r="P89" s="697"/>
      <c r="Q89" s="731"/>
      <c r="R89" s="732"/>
      <c r="S89" s="732"/>
      <c r="T89" s="732"/>
      <c r="U89" s="732"/>
      <c r="V89" s="732"/>
      <c r="W89" s="732"/>
      <c r="X89" s="732"/>
      <c r="Y89" s="732"/>
      <c r="Z89" s="732"/>
      <c r="AA89" s="732"/>
      <c r="AB89" s="732"/>
      <c r="AC89" s="732"/>
      <c r="AD89" s="697"/>
      <c r="AV89" s="697"/>
      <c r="AW89" s="697"/>
      <c r="AX89" s="697"/>
      <c r="AY89" s="697"/>
      <c r="AZ89" s="697"/>
      <c r="BA89" s="697"/>
      <c r="BB89" s="697"/>
      <c r="BC89" s="697"/>
      <c r="BD89" s="697"/>
      <c r="BE89" s="697"/>
      <c r="BF89" s="697"/>
    </row>
    <row r="90" spans="1:58" ht="30" customHeight="1" thickBot="1" x14ac:dyDescent="0.25">
      <c r="A90" s="772"/>
      <c r="B90" s="1145"/>
      <c r="C90" s="925"/>
      <c r="D90" s="926"/>
      <c r="E90" s="846"/>
      <c r="F90" s="846"/>
      <c r="G90" s="846"/>
      <c r="H90" s="846"/>
      <c r="I90" s="846"/>
      <c r="J90" s="846"/>
      <c r="K90" s="847"/>
      <c r="L90" s="866"/>
      <c r="M90" s="813"/>
      <c r="N90" s="795"/>
      <c r="O90" s="891"/>
      <c r="P90" s="697"/>
      <c r="Q90" s="731"/>
      <c r="R90" s="732"/>
      <c r="S90" s="732"/>
      <c r="T90" s="732"/>
      <c r="U90" s="732"/>
      <c r="V90" s="732"/>
      <c r="W90" s="732"/>
      <c r="X90" s="732"/>
      <c r="Y90" s="732"/>
      <c r="Z90" s="732"/>
      <c r="AA90" s="732"/>
      <c r="AB90" s="732"/>
      <c r="AC90" s="732"/>
      <c r="AD90" s="697"/>
      <c r="AV90" s="697"/>
      <c r="AW90" s="697"/>
      <c r="AX90" s="697"/>
      <c r="AY90" s="697"/>
      <c r="AZ90" s="697"/>
      <c r="BA90" s="697"/>
      <c r="BB90" s="697"/>
      <c r="BC90" s="697"/>
      <c r="BD90" s="697"/>
      <c r="BE90" s="697"/>
      <c r="BF90" s="697"/>
    </row>
    <row r="91" spans="1:58" ht="30" customHeight="1" thickBot="1" x14ac:dyDescent="0.25">
      <c r="A91" s="772"/>
      <c r="B91" s="1146"/>
      <c r="C91" s="927" t="s">
        <v>305</v>
      </c>
      <c r="D91" s="928" t="s">
        <v>370</v>
      </c>
      <c r="E91" s="929" t="s">
        <v>304</v>
      </c>
      <c r="F91" s="930">
        <v>120</v>
      </c>
      <c r="G91" s="930">
        <v>1E-4</v>
      </c>
      <c r="H91" s="930">
        <v>6.9499999999999998E-4</v>
      </c>
      <c r="I91" s="930">
        <v>1.5999999999999999E-5</v>
      </c>
      <c r="J91" s="930">
        <v>2.2999999999999998</v>
      </c>
      <c r="K91" s="931">
        <v>42846</v>
      </c>
      <c r="L91" s="932" t="s">
        <v>470</v>
      </c>
      <c r="M91" s="813"/>
      <c r="N91" s="795"/>
      <c r="O91" s="891"/>
      <c r="P91" s="697"/>
      <c r="Q91" s="731"/>
      <c r="R91" s="732"/>
      <c r="S91" s="732"/>
      <c r="T91" s="732"/>
      <c r="U91" s="732"/>
      <c r="V91" s="732"/>
      <c r="W91" s="732"/>
      <c r="X91" s="732"/>
      <c r="Y91" s="732"/>
      <c r="Z91" s="732"/>
      <c r="AA91" s="732"/>
      <c r="AB91" s="732"/>
      <c r="AC91" s="732"/>
      <c r="AD91" s="697"/>
      <c r="AV91" s="697"/>
      <c r="AW91" s="697"/>
      <c r="AX91" s="697"/>
      <c r="AY91" s="697"/>
      <c r="AZ91" s="697"/>
      <c r="BA91" s="697"/>
      <c r="BB91" s="697"/>
      <c r="BC91" s="697"/>
      <c r="BD91" s="697"/>
      <c r="BE91" s="697"/>
      <c r="BF91" s="697"/>
    </row>
    <row r="92" spans="1:58" ht="30" customHeight="1" x14ac:dyDescent="0.2">
      <c r="A92" s="772"/>
      <c r="B92" s="933"/>
      <c r="C92" s="842"/>
      <c r="D92" s="934"/>
      <c r="E92" s="842"/>
      <c r="F92" s="842"/>
      <c r="G92" s="842"/>
      <c r="H92" s="842"/>
      <c r="I92" s="842"/>
      <c r="J92" s="842"/>
      <c r="K92" s="935"/>
      <c r="L92" s="936"/>
      <c r="M92" s="813"/>
      <c r="N92" s="795"/>
      <c r="O92" s="891"/>
      <c r="P92" s="697"/>
      <c r="Q92" s="731"/>
      <c r="R92" s="732"/>
      <c r="S92" s="732"/>
      <c r="T92" s="732"/>
      <c r="U92" s="732"/>
      <c r="V92" s="732"/>
      <c r="W92" s="732"/>
      <c r="X92" s="732"/>
      <c r="Y92" s="732"/>
      <c r="Z92" s="732"/>
      <c r="AA92" s="732"/>
      <c r="AB92" s="732"/>
      <c r="AC92" s="732"/>
      <c r="AD92" s="697"/>
      <c r="AV92" s="697"/>
      <c r="AW92" s="697"/>
      <c r="AX92" s="697"/>
      <c r="AY92" s="697"/>
      <c r="AZ92" s="697"/>
      <c r="BA92" s="697"/>
      <c r="BB92" s="697"/>
      <c r="BC92" s="697"/>
      <c r="BD92" s="697"/>
      <c r="BE92" s="697"/>
      <c r="BF92" s="697"/>
    </row>
    <row r="93" spans="1:58" ht="30" customHeight="1" thickBot="1" x14ac:dyDescent="0.25">
      <c r="A93" s="772"/>
      <c r="B93" s="697"/>
      <c r="C93" s="712"/>
      <c r="D93" s="712"/>
      <c r="E93" s="712"/>
      <c r="F93" s="712"/>
      <c r="G93" s="712"/>
      <c r="H93" s="712"/>
      <c r="I93" s="712"/>
      <c r="J93" s="712"/>
      <c r="K93" s="841"/>
      <c r="L93" s="712"/>
      <c r="M93" s="813"/>
      <c r="N93" s="795"/>
      <c r="O93" s="891"/>
      <c r="P93" s="697"/>
      <c r="Q93" s="731"/>
      <c r="R93" s="732"/>
      <c r="S93" s="732"/>
      <c r="T93" s="732"/>
      <c r="U93" s="732"/>
      <c r="V93" s="732"/>
      <c r="W93" s="732"/>
      <c r="X93" s="732"/>
      <c r="Y93" s="732"/>
      <c r="Z93" s="732"/>
      <c r="AA93" s="732"/>
      <c r="AB93" s="732"/>
      <c r="AC93" s="732"/>
      <c r="AD93" s="697"/>
      <c r="AV93" s="697"/>
      <c r="AW93" s="697"/>
      <c r="AX93" s="697"/>
      <c r="AY93" s="697"/>
      <c r="AZ93" s="697"/>
      <c r="BA93" s="697"/>
      <c r="BB93" s="697"/>
      <c r="BC93" s="697"/>
      <c r="BD93" s="697"/>
      <c r="BE93" s="697"/>
      <c r="BF93" s="697"/>
    </row>
    <row r="94" spans="1:58" ht="30" customHeight="1" thickBot="1" x14ac:dyDescent="0.25">
      <c r="A94" s="772"/>
      <c r="B94" s="1096" t="s">
        <v>270</v>
      </c>
      <c r="C94" s="1097"/>
      <c r="D94" s="1097"/>
      <c r="E94" s="1097"/>
      <c r="F94" s="1097"/>
      <c r="G94" s="1097"/>
      <c r="H94" s="1097"/>
      <c r="I94" s="1097"/>
      <c r="J94" s="1097"/>
      <c r="K94" s="1097"/>
      <c r="L94" s="1098"/>
      <c r="M94" s="813"/>
      <c r="N94" s="795"/>
      <c r="O94" s="891"/>
      <c r="P94" s="697"/>
      <c r="Q94" s="731"/>
      <c r="R94" s="732"/>
      <c r="S94" s="732"/>
      <c r="T94" s="732"/>
      <c r="U94" s="732"/>
      <c r="V94" s="732"/>
      <c r="W94" s="732"/>
      <c r="X94" s="732"/>
      <c r="Y94" s="732"/>
      <c r="Z94" s="732"/>
      <c r="AA94" s="732"/>
      <c r="AB94" s="732"/>
      <c r="AC94" s="732"/>
      <c r="AD94" s="697"/>
      <c r="AV94" s="697"/>
      <c r="AW94" s="697"/>
      <c r="AX94" s="697"/>
      <c r="AY94" s="697"/>
      <c r="AZ94" s="697"/>
      <c r="BA94" s="697"/>
      <c r="BB94" s="697"/>
      <c r="BC94" s="697"/>
      <c r="BD94" s="697"/>
      <c r="BE94" s="697"/>
      <c r="BF94" s="697"/>
    </row>
    <row r="95" spans="1:58" ht="60" customHeight="1" thickBot="1" x14ac:dyDescent="0.25">
      <c r="A95" s="772"/>
      <c r="B95" s="697"/>
      <c r="C95" s="842"/>
      <c r="D95" s="937" t="s">
        <v>55</v>
      </c>
      <c r="E95" s="938" t="s">
        <v>353</v>
      </c>
      <c r="F95" s="939" t="s">
        <v>354</v>
      </c>
      <c r="G95" s="939" t="s">
        <v>244</v>
      </c>
      <c r="H95" s="939" t="s">
        <v>306</v>
      </c>
      <c r="I95" s="939" t="s">
        <v>241</v>
      </c>
      <c r="J95" s="939" t="s">
        <v>307</v>
      </c>
      <c r="K95" s="940" t="s">
        <v>243</v>
      </c>
      <c r="L95" s="941" t="s">
        <v>375</v>
      </c>
      <c r="M95" s="813"/>
      <c r="N95" s="795"/>
      <c r="O95" s="891"/>
      <c r="P95" s="697"/>
      <c r="Q95" s="731"/>
      <c r="R95" s="732"/>
      <c r="S95" s="732"/>
      <c r="T95" s="732"/>
      <c r="U95" s="732"/>
      <c r="V95" s="732"/>
      <c r="W95" s="732"/>
      <c r="X95" s="732"/>
      <c r="Y95" s="732"/>
      <c r="Z95" s="732"/>
      <c r="AA95" s="732"/>
      <c r="AB95" s="732"/>
      <c r="AC95" s="732"/>
      <c r="AD95" s="697"/>
      <c r="AV95" s="697"/>
      <c r="AW95" s="697"/>
      <c r="AX95" s="697"/>
      <c r="AY95" s="697"/>
      <c r="AZ95" s="697"/>
      <c r="BA95" s="697"/>
      <c r="BB95" s="697"/>
      <c r="BC95" s="697"/>
      <c r="BD95" s="697"/>
      <c r="BE95" s="697"/>
      <c r="BF95" s="697"/>
    </row>
    <row r="96" spans="1:58" ht="30" customHeight="1" thickBot="1" x14ac:dyDescent="0.25">
      <c r="A96" s="772"/>
      <c r="B96" s="697"/>
      <c r="C96" s="842"/>
      <c r="D96" s="920"/>
      <c r="E96" s="840"/>
      <c r="F96" s="840"/>
      <c r="G96" s="840"/>
      <c r="H96" s="840"/>
      <c r="I96" s="840"/>
      <c r="J96" s="840"/>
      <c r="K96" s="921"/>
      <c r="L96" s="794"/>
      <c r="M96" s="813"/>
      <c r="N96" s="795"/>
      <c r="O96" s="891"/>
      <c r="P96" s="697"/>
      <c r="Q96" s="731"/>
      <c r="R96" s="732"/>
      <c r="S96" s="732"/>
      <c r="T96" s="732"/>
      <c r="U96" s="732"/>
      <c r="V96" s="732"/>
      <c r="W96" s="732"/>
      <c r="X96" s="732"/>
      <c r="Y96" s="732"/>
      <c r="Z96" s="732"/>
      <c r="AA96" s="732"/>
      <c r="AB96" s="732"/>
      <c r="AC96" s="732"/>
      <c r="AD96" s="697"/>
      <c r="AV96" s="697"/>
      <c r="AW96" s="697"/>
      <c r="AX96" s="697"/>
      <c r="AY96" s="697"/>
      <c r="AZ96" s="697"/>
      <c r="BA96" s="697"/>
      <c r="BB96" s="697"/>
      <c r="BC96" s="697"/>
      <c r="BD96" s="697"/>
      <c r="BE96" s="697"/>
      <c r="BF96" s="697"/>
    </row>
    <row r="97" spans="1:58" ht="30" customHeight="1" x14ac:dyDescent="0.2">
      <c r="A97" s="772"/>
      <c r="B97" s="1125" t="s">
        <v>267</v>
      </c>
      <c r="C97" s="849" t="s">
        <v>471</v>
      </c>
      <c r="D97" s="1131" t="s">
        <v>369</v>
      </c>
      <c r="E97" s="738">
        <v>16901291</v>
      </c>
      <c r="F97" s="942">
        <v>4.9800000000000004</v>
      </c>
      <c r="G97" s="942">
        <v>0.01</v>
      </c>
      <c r="H97" s="943">
        <v>-2E-3</v>
      </c>
      <c r="I97" s="943">
        <v>1E-3</v>
      </c>
      <c r="J97" s="944">
        <v>2</v>
      </c>
      <c r="K97" s="883">
        <v>43133</v>
      </c>
      <c r="L97" s="945" t="s">
        <v>473</v>
      </c>
      <c r="M97" s="813"/>
      <c r="N97" s="795"/>
      <c r="O97" s="891"/>
      <c r="P97" s="697"/>
      <c r="Q97" s="731"/>
      <c r="R97" s="732"/>
      <c r="S97" s="732"/>
      <c r="T97" s="732"/>
      <c r="U97" s="732"/>
      <c r="V97" s="732"/>
      <c r="W97" s="732"/>
      <c r="X97" s="732"/>
      <c r="Y97" s="732"/>
      <c r="Z97" s="732"/>
      <c r="AA97" s="732"/>
      <c r="AB97" s="732"/>
      <c r="AC97" s="732"/>
      <c r="AD97" s="697"/>
      <c r="AV97" s="697"/>
      <c r="AW97" s="697"/>
      <c r="AX97" s="697"/>
      <c r="AY97" s="697"/>
      <c r="AZ97" s="697"/>
      <c r="BA97" s="697"/>
      <c r="BB97" s="697"/>
      <c r="BC97" s="697"/>
      <c r="BD97" s="697"/>
      <c r="BE97" s="697"/>
      <c r="BF97" s="697"/>
    </row>
    <row r="98" spans="1:58" ht="30" customHeight="1" x14ac:dyDescent="0.2">
      <c r="A98" s="772"/>
      <c r="B98" s="1126"/>
      <c r="C98" s="912" t="s">
        <v>429</v>
      </c>
      <c r="D98" s="1132"/>
      <c r="E98" s="718">
        <v>16901291</v>
      </c>
      <c r="F98" s="946">
        <v>21.49</v>
      </c>
      <c r="G98" s="946">
        <v>0.01</v>
      </c>
      <c r="H98" s="947">
        <v>-1E-3</v>
      </c>
      <c r="I98" s="947">
        <v>1E-3</v>
      </c>
      <c r="J98" s="948">
        <v>2</v>
      </c>
      <c r="K98" s="717">
        <v>43133</v>
      </c>
      <c r="L98" s="829" t="s">
        <v>473</v>
      </c>
      <c r="M98" s="813"/>
      <c r="N98" s="795"/>
      <c r="O98" s="891"/>
      <c r="P98" s="697"/>
      <c r="Q98" s="731"/>
      <c r="R98" s="732"/>
      <c r="S98" s="732"/>
      <c r="T98" s="732"/>
      <c r="U98" s="732"/>
      <c r="V98" s="732"/>
      <c r="W98" s="732"/>
      <c r="X98" s="732"/>
      <c r="Y98" s="732"/>
      <c r="Z98" s="732"/>
      <c r="AA98" s="732"/>
      <c r="AB98" s="732"/>
      <c r="AC98" s="732"/>
      <c r="AD98" s="697"/>
      <c r="AV98" s="697"/>
      <c r="AW98" s="697"/>
      <c r="AX98" s="697"/>
      <c r="AY98" s="697"/>
      <c r="AZ98" s="697"/>
      <c r="BA98" s="697"/>
      <c r="BB98" s="697"/>
      <c r="BC98" s="697"/>
      <c r="BD98" s="697"/>
      <c r="BE98" s="697"/>
      <c r="BF98" s="697"/>
    </row>
    <row r="99" spans="1:58" ht="30" customHeight="1" x14ac:dyDescent="0.2">
      <c r="A99" s="772"/>
      <c r="B99" s="1126"/>
      <c r="C99" s="912" t="s">
        <v>430</v>
      </c>
      <c r="D99" s="1132"/>
      <c r="E99" s="718">
        <v>16901291</v>
      </c>
      <c r="F99" s="949">
        <v>50</v>
      </c>
      <c r="G99" s="946">
        <v>0.01</v>
      </c>
      <c r="H99" s="949">
        <v>0</v>
      </c>
      <c r="I99" s="947">
        <v>1E-3</v>
      </c>
      <c r="J99" s="948">
        <v>2</v>
      </c>
      <c r="K99" s="717">
        <v>43133</v>
      </c>
      <c r="L99" s="829" t="s">
        <v>473</v>
      </c>
      <c r="M99" s="813"/>
      <c r="N99" s="795"/>
      <c r="O99" s="891"/>
      <c r="P99" s="697"/>
      <c r="Q99" s="731"/>
      <c r="R99" s="732"/>
      <c r="S99" s="732"/>
      <c r="T99" s="732"/>
      <c r="U99" s="732"/>
      <c r="V99" s="732"/>
      <c r="W99" s="732"/>
      <c r="X99" s="732"/>
      <c r="Y99" s="732"/>
      <c r="Z99" s="732"/>
      <c r="AA99" s="732"/>
      <c r="AB99" s="732"/>
      <c r="AC99" s="732"/>
      <c r="AD99" s="697"/>
      <c r="AV99" s="697"/>
      <c r="AW99" s="697"/>
      <c r="AX99" s="697"/>
      <c r="AY99" s="697"/>
      <c r="AZ99" s="697"/>
      <c r="BA99" s="697"/>
      <c r="BB99" s="697"/>
      <c r="BC99" s="697"/>
      <c r="BD99" s="697"/>
      <c r="BE99" s="697"/>
      <c r="BF99" s="697"/>
    </row>
    <row r="100" spans="1:58" ht="35.1" customHeight="1" x14ac:dyDescent="0.2">
      <c r="A100" s="772"/>
      <c r="B100" s="1126"/>
      <c r="C100" s="912" t="s">
        <v>472</v>
      </c>
      <c r="D100" s="1132"/>
      <c r="E100" s="718">
        <v>16901291</v>
      </c>
      <c r="F100" s="946">
        <v>71.510000000000005</v>
      </c>
      <c r="G100" s="946">
        <v>0.01</v>
      </c>
      <c r="H100" s="947">
        <v>1E-3</v>
      </c>
      <c r="I100" s="947">
        <v>1E-3</v>
      </c>
      <c r="J100" s="948">
        <v>2</v>
      </c>
      <c r="K100" s="717">
        <v>43133</v>
      </c>
      <c r="L100" s="829" t="s">
        <v>473</v>
      </c>
      <c r="M100" s="813"/>
      <c r="N100" s="795"/>
      <c r="O100" s="891"/>
      <c r="P100" s="697"/>
      <c r="Q100" s="731"/>
      <c r="R100" s="732"/>
      <c r="S100" s="732"/>
      <c r="T100" s="732"/>
      <c r="U100" s="732"/>
      <c r="V100" s="732"/>
      <c r="W100" s="732"/>
      <c r="X100" s="732"/>
      <c r="Y100" s="732"/>
      <c r="Z100" s="732"/>
      <c r="AA100" s="732"/>
      <c r="AB100" s="732"/>
      <c r="AC100" s="732"/>
      <c r="AD100" s="697"/>
      <c r="AV100" s="697"/>
      <c r="AW100" s="697"/>
      <c r="AX100" s="697"/>
      <c r="AY100" s="697"/>
      <c r="AZ100" s="697"/>
      <c r="BA100" s="697"/>
      <c r="BB100" s="697"/>
      <c r="BC100" s="697"/>
      <c r="BD100" s="697"/>
      <c r="BE100" s="697"/>
      <c r="BF100" s="697"/>
    </row>
    <row r="101" spans="1:58" ht="35.1" customHeight="1" x14ac:dyDescent="0.2">
      <c r="A101" s="772"/>
      <c r="B101" s="1126"/>
      <c r="C101" s="912" t="s">
        <v>431</v>
      </c>
      <c r="D101" s="1132"/>
      <c r="E101" s="718">
        <v>16901291</v>
      </c>
      <c r="F101" s="946">
        <v>100.01</v>
      </c>
      <c r="G101" s="946">
        <v>0.01</v>
      </c>
      <c r="H101" s="950">
        <v>8.0000000000000002E-3</v>
      </c>
      <c r="I101" s="947">
        <v>1E-3</v>
      </c>
      <c r="J101" s="948">
        <v>2</v>
      </c>
      <c r="K101" s="717">
        <v>43133</v>
      </c>
      <c r="L101" s="829" t="s">
        <v>473</v>
      </c>
      <c r="M101" s="813"/>
      <c r="N101" s="795"/>
      <c r="O101" s="891"/>
      <c r="P101" s="697"/>
      <c r="Q101" s="731"/>
      <c r="R101" s="732"/>
      <c r="S101" s="732"/>
      <c r="T101" s="732"/>
      <c r="U101" s="732"/>
      <c r="V101" s="732"/>
      <c r="W101" s="732"/>
      <c r="X101" s="732"/>
      <c r="Y101" s="732"/>
      <c r="Z101" s="732"/>
      <c r="AA101" s="732"/>
      <c r="AB101" s="732"/>
      <c r="AC101" s="732"/>
      <c r="AD101" s="697"/>
      <c r="AV101" s="697"/>
      <c r="AW101" s="697"/>
      <c r="AX101" s="697"/>
      <c r="AY101" s="697"/>
      <c r="AZ101" s="697"/>
      <c r="BA101" s="697"/>
      <c r="BB101" s="697"/>
      <c r="BC101" s="697"/>
      <c r="BD101" s="697"/>
      <c r="BE101" s="697"/>
      <c r="BF101" s="697"/>
    </row>
    <row r="102" spans="1:58" ht="35.1" customHeight="1" x14ac:dyDescent="0.2">
      <c r="A102" s="772"/>
      <c r="B102" s="1126"/>
      <c r="C102" s="912" t="s">
        <v>432</v>
      </c>
      <c r="D102" s="1132"/>
      <c r="E102" s="718">
        <v>16901291</v>
      </c>
      <c r="F102" s="949">
        <v>150</v>
      </c>
      <c r="G102" s="946">
        <v>0.01</v>
      </c>
      <c r="H102" s="949">
        <v>0</v>
      </c>
      <c r="I102" s="947">
        <v>1E-3</v>
      </c>
      <c r="J102" s="948">
        <v>2</v>
      </c>
      <c r="K102" s="717">
        <v>43133</v>
      </c>
      <c r="L102" s="829" t="s">
        <v>473</v>
      </c>
      <c r="M102" s="813"/>
      <c r="N102" s="795"/>
      <c r="O102" s="891"/>
      <c r="P102" s="697"/>
      <c r="Q102" s="731"/>
      <c r="R102" s="732"/>
      <c r="S102" s="732"/>
      <c r="T102" s="732"/>
      <c r="U102" s="732"/>
      <c r="V102" s="732"/>
      <c r="W102" s="732"/>
      <c r="X102" s="732"/>
      <c r="Y102" s="732"/>
      <c r="Z102" s="732"/>
      <c r="AA102" s="732"/>
      <c r="AB102" s="732"/>
      <c r="AC102" s="732"/>
      <c r="AD102" s="697"/>
      <c r="AV102" s="697"/>
      <c r="AW102" s="697"/>
      <c r="AX102" s="697"/>
      <c r="AY102" s="697"/>
      <c r="AZ102" s="697"/>
      <c r="BA102" s="697"/>
      <c r="BB102" s="697"/>
      <c r="BC102" s="697"/>
      <c r="BD102" s="697"/>
      <c r="BE102" s="697"/>
      <c r="BF102" s="697"/>
    </row>
    <row r="103" spans="1:58" ht="35.1" customHeight="1" thickBot="1" x14ac:dyDescent="0.25">
      <c r="A103" s="772"/>
      <c r="B103" s="1127"/>
      <c r="C103" s="915" t="s">
        <v>433</v>
      </c>
      <c r="D103" s="1133"/>
      <c r="E103" s="917">
        <v>16901291</v>
      </c>
      <c r="F103" s="951">
        <v>200</v>
      </c>
      <c r="G103" s="952">
        <v>0.01</v>
      </c>
      <c r="H103" s="951">
        <v>0</v>
      </c>
      <c r="I103" s="953">
        <v>1E-3</v>
      </c>
      <c r="J103" s="954">
        <v>2</v>
      </c>
      <c r="K103" s="889">
        <v>43133</v>
      </c>
      <c r="L103" s="955" t="s">
        <v>473</v>
      </c>
      <c r="M103" s="813"/>
      <c r="N103" s="795"/>
      <c r="O103" s="891"/>
      <c r="Q103" s="731"/>
      <c r="R103" s="732"/>
      <c r="S103" s="732"/>
      <c r="T103" s="732"/>
      <c r="U103" s="732"/>
      <c r="V103" s="732"/>
      <c r="W103" s="732"/>
      <c r="X103" s="732"/>
      <c r="Y103" s="732"/>
      <c r="Z103" s="732"/>
      <c r="AA103" s="732"/>
      <c r="AB103" s="732"/>
      <c r="AC103" s="732"/>
      <c r="AD103" s="697"/>
      <c r="AH103" s="697"/>
      <c r="AI103" s="842"/>
      <c r="AJ103" s="842"/>
      <c r="AK103" s="842"/>
      <c r="AL103" s="842"/>
      <c r="AM103" s="842"/>
      <c r="AN103" s="842"/>
      <c r="AO103" s="842"/>
      <c r="AP103" s="842"/>
      <c r="AQ103" s="935"/>
      <c r="AR103" s="956"/>
      <c r="AS103" s="842"/>
      <c r="AV103" s="697"/>
      <c r="AW103" s="697"/>
      <c r="AX103" s="697"/>
      <c r="AY103" s="697"/>
      <c r="AZ103" s="697"/>
      <c r="BA103" s="697"/>
      <c r="BB103" s="697"/>
      <c r="BC103" s="697"/>
      <c r="BD103" s="697"/>
      <c r="BE103" s="697"/>
      <c r="BF103" s="697"/>
    </row>
    <row r="104" spans="1:58" ht="35.1" customHeight="1" thickBot="1" x14ac:dyDescent="0.25">
      <c r="A104" s="772"/>
      <c r="B104" s="697"/>
      <c r="C104" s="925"/>
      <c r="D104" s="957"/>
      <c r="E104" s="695"/>
      <c r="F104" s="894"/>
      <c r="G104" s="894"/>
      <c r="H104" s="958"/>
      <c r="I104" s="894"/>
      <c r="J104" s="894"/>
      <c r="K104" s="895"/>
      <c r="L104" s="959"/>
      <c r="M104" s="813"/>
      <c r="N104" s="795"/>
      <c r="O104" s="697"/>
      <c r="Q104" s="697"/>
      <c r="R104" s="697"/>
      <c r="S104" s="697"/>
      <c r="T104" s="956"/>
      <c r="U104" s="956"/>
      <c r="V104" s="956"/>
      <c r="W104" s="956"/>
      <c r="X104" s="956"/>
      <c r="Y104" s="956"/>
      <c r="Z104" s="956"/>
      <c r="AA104" s="956"/>
      <c r="AB104" s="956"/>
      <c r="AC104" s="697"/>
      <c r="AD104" s="697"/>
      <c r="AH104" s="697"/>
      <c r="AI104" s="697"/>
      <c r="AJ104" s="697"/>
      <c r="AK104" s="697"/>
      <c r="AL104" s="697"/>
      <c r="AM104" s="697"/>
      <c r="AN104" s="697"/>
      <c r="AO104" s="697"/>
      <c r="AP104" s="697"/>
      <c r="AQ104" s="780"/>
      <c r="AR104" s="697"/>
      <c r="AS104" s="842"/>
      <c r="AV104" s="697"/>
      <c r="AW104" s="697"/>
      <c r="AX104" s="697"/>
      <c r="AY104" s="697"/>
      <c r="AZ104" s="697"/>
      <c r="BA104" s="697"/>
      <c r="BB104" s="697"/>
      <c r="BC104" s="697"/>
      <c r="BD104" s="697"/>
      <c r="BE104" s="697"/>
      <c r="BF104" s="697"/>
    </row>
    <row r="105" spans="1:58" ht="35.1" customHeight="1" x14ac:dyDescent="0.2">
      <c r="A105" s="772"/>
      <c r="B105" s="1122" t="s">
        <v>268</v>
      </c>
      <c r="C105" s="777" t="s">
        <v>471</v>
      </c>
      <c r="D105" s="1116" t="s">
        <v>369</v>
      </c>
      <c r="E105" s="738">
        <v>16901291</v>
      </c>
      <c r="F105" s="960">
        <v>5</v>
      </c>
      <c r="G105" s="942">
        <v>0.01</v>
      </c>
      <c r="H105" s="960">
        <v>0</v>
      </c>
      <c r="I105" s="943">
        <v>1E-3</v>
      </c>
      <c r="J105" s="944">
        <v>2</v>
      </c>
      <c r="K105" s="883">
        <v>43133</v>
      </c>
      <c r="L105" s="961" t="s">
        <v>473</v>
      </c>
      <c r="M105" s="813"/>
      <c r="N105" s="795"/>
      <c r="O105" s="697"/>
      <c r="Q105" s="697"/>
      <c r="R105" s="697"/>
      <c r="S105" s="697"/>
      <c r="T105" s="697"/>
      <c r="U105" s="697"/>
      <c r="V105" s="697"/>
      <c r="W105" s="697"/>
      <c r="X105" s="697"/>
      <c r="Y105" s="697"/>
      <c r="Z105" s="697"/>
      <c r="AA105" s="697"/>
      <c r="AB105" s="697"/>
      <c r="AC105" s="697"/>
      <c r="AD105" s="697"/>
      <c r="AH105" s="697"/>
      <c r="AI105" s="697"/>
      <c r="AJ105" s="697"/>
      <c r="AK105" s="697"/>
      <c r="AL105" s="697"/>
      <c r="AM105" s="697"/>
      <c r="AN105" s="697"/>
      <c r="AO105" s="697"/>
      <c r="AP105" s="697"/>
      <c r="AQ105" s="780"/>
      <c r="AR105" s="697"/>
      <c r="AS105" s="956"/>
      <c r="AV105" s="697"/>
      <c r="AW105" s="697"/>
      <c r="AX105" s="697"/>
      <c r="AY105" s="697"/>
      <c r="AZ105" s="697"/>
      <c r="BA105" s="697"/>
      <c r="BB105" s="697"/>
      <c r="BC105" s="697"/>
      <c r="BD105" s="697"/>
      <c r="BE105" s="697"/>
      <c r="BF105" s="697"/>
    </row>
    <row r="106" spans="1:58" ht="35.1" customHeight="1" x14ac:dyDescent="0.2">
      <c r="A106" s="772"/>
      <c r="B106" s="1123"/>
      <c r="C106" s="715" t="s">
        <v>429</v>
      </c>
      <c r="D106" s="1117"/>
      <c r="E106" s="718">
        <v>16901291</v>
      </c>
      <c r="F106" s="949">
        <v>21.51</v>
      </c>
      <c r="G106" s="946">
        <v>0.01</v>
      </c>
      <c r="H106" s="947">
        <v>1E-3</v>
      </c>
      <c r="I106" s="947">
        <v>1E-3</v>
      </c>
      <c r="J106" s="948">
        <v>2</v>
      </c>
      <c r="K106" s="717">
        <v>43133</v>
      </c>
      <c r="L106" s="962" t="s">
        <v>473</v>
      </c>
      <c r="M106" s="813"/>
      <c r="N106" s="795"/>
      <c r="Q106" s="697"/>
      <c r="R106" s="697"/>
      <c r="S106" s="697"/>
      <c r="T106" s="697"/>
      <c r="U106" s="697"/>
      <c r="V106" s="697"/>
      <c r="W106" s="697"/>
      <c r="X106" s="697"/>
      <c r="Y106" s="697"/>
      <c r="Z106" s="697"/>
      <c r="AA106" s="697"/>
      <c r="AB106" s="697"/>
      <c r="AC106" s="697"/>
      <c r="AD106" s="697"/>
      <c r="BD106" s="697"/>
      <c r="BE106" s="697"/>
      <c r="BF106" s="697"/>
    </row>
    <row r="107" spans="1:58" ht="35.1" customHeight="1" x14ac:dyDescent="0.2">
      <c r="A107" s="772"/>
      <c r="B107" s="1123"/>
      <c r="C107" s="715" t="s">
        <v>430</v>
      </c>
      <c r="D107" s="1117"/>
      <c r="E107" s="718">
        <v>16901291</v>
      </c>
      <c r="F107" s="949">
        <v>50.01</v>
      </c>
      <c r="G107" s="946">
        <v>0.01</v>
      </c>
      <c r="H107" s="947">
        <v>1E-3</v>
      </c>
      <c r="I107" s="947">
        <v>1E-3</v>
      </c>
      <c r="J107" s="948">
        <v>2</v>
      </c>
      <c r="K107" s="717">
        <v>43133</v>
      </c>
      <c r="L107" s="962" t="s">
        <v>473</v>
      </c>
      <c r="M107" s="813"/>
      <c r="N107" s="795"/>
      <c r="T107" s="700"/>
      <c r="U107" s="700"/>
      <c r="V107" s="700"/>
      <c r="W107" s="700"/>
      <c r="X107" s="700"/>
      <c r="Y107" s="700"/>
      <c r="Z107" s="700"/>
      <c r="AA107" s="700"/>
      <c r="AB107" s="700"/>
      <c r="AV107" s="697"/>
      <c r="AW107" s="697"/>
      <c r="AX107" s="697"/>
      <c r="AY107" s="697"/>
      <c r="AZ107" s="697"/>
      <c r="BA107" s="697"/>
      <c r="BB107" s="697"/>
      <c r="BC107" s="697"/>
      <c r="BD107" s="697"/>
      <c r="BE107" s="697"/>
      <c r="BF107" s="697"/>
    </row>
    <row r="108" spans="1:58" ht="35.1" customHeight="1" x14ac:dyDescent="0.2">
      <c r="A108" s="772"/>
      <c r="B108" s="1123"/>
      <c r="C108" s="715" t="s">
        <v>472</v>
      </c>
      <c r="D108" s="1117"/>
      <c r="E108" s="718">
        <v>16901291</v>
      </c>
      <c r="F108" s="949">
        <v>71.510000000000005</v>
      </c>
      <c r="G108" s="946">
        <v>0.01</v>
      </c>
      <c r="H108" s="947">
        <v>1E-3</v>
      </c>
      <c r="I108" s="947">
        <v>1E-3</v>
      </c>
      <c r="J108" s="948">
        <v>2</v>
      </c>
      <c r="K108" s="717">
        <v>43133</v>
      </c>
      <c r="L108" s="962" t="s">
        <v>473</v>
      </c>
      <c r="M108" s="813"/>
      <c r="N108" s="795"/>
      <c r="T108" s="700"/>
      <c r="U108" s="700"/>
      <c r="V108" s="700"/>
      <c r="W108" s="700"/>
      <c r="X108" s="700"/>
      <c r="Y108" s="700"/>
      <c r="Z108" s="700"/>
      <c r="AA108" s="700"/>
      <c r="AB108" s="700"/>
      <c r="AV108" s="697"/>
      <c r="AW108" s="697"/>
      <c r="AX108" s="697"/>
      <c r="AY108" s="697"/>
      <c r="AZ108" s="697"/>
      <c r="BA108" s="697"/>
      <c r="BB108" s="697"/>
      <c r="BC108" s="697"/>
      <c r="BD108" s="697"/>
      <c r="BE108" s="697"/>
      <c r="BF108" s="697"/>
    </row>
    <row r="109" spans="1:58" ht="35.1" customHeight="1" x14ac:dyDescent="0.2">
      <c r="A109" s="772"/>
      <c r="B109" s="1123"/>
      <c r="C109" s="715" t="s">
        <v>431</v>
      </c>
      <c r="D109" s="1117"/>
      <c r="E109" s="718">
        <v>16901291</v>
      </c>
      <c r="F109" s="949">
        <v>100.01</v>
      </c>
      <c r="G109" s="946">
        <v>0.01</v>
      </c>
      <c r="H109" s="947">
        <v>1E-3</v>
      </c>
      <c r="I109" s="947">
        <v>1E-3</v>
      </c>
      <c r="J109" s="948">
        <v>2</v>
      </c>
      <c r="K109" s="717">
        <v>43133</v>
      </c>
      <c r="L109" s="962" t="s">
        <v>473</v>
      </c>
      <c r="M109" s="813"/>
      <c r="N109" s="795"/>
    </row>
    <row r="110" spans="1:58" ht="35.1" customHeight="1" x14ac:dyDescent="0.2">
      <c r="A110" s="772"/>
      <c r="B110" s="1123"/>
      <c r="C110" s="715" t="s">
        <v>432</v>
      </c>
      <c r="D110" s="1117"/>
      <c r="E110" s="718">
        <v>16901291</v>
      </c>
      <c r="F110" s="949">
        <v>150.01</v>
      </c>
      <c r="G110" s="946">
        <v>0.01</v>
      </c>
      <c r="H110" s="947">
        <v>1E-3</v>
      </c>
      <c r="I110" s="947">
        <v>1E-3</v>
      </c>
      <c r="J110" s="948">
        <v>2</v>
      </c>
      <c r="K110" s="717">
        <v>43133</v>
      </c>
      <c r="L110" s="962" t="s">
        <v>473</v>
      </c>
      <c r="M110" s="813"/>
      <c r="N110" s="795"/>
    </row>
    <row r="111" spans="1:58" ht="35.1" customHeight="1" thickBot="1" x14ac:dyDescent="0.25">
      <c r="A111" s="772"/>
      <c r="B111" s="1124"/>
      <c r="C111" s="786" t="s">
        <v>433</v>
      </c>
      <c r="D111" s="1118"/>
      <c r="E111" s="917">
        <v>16901291</v>
      </c>
      <c r="F111" s="951">
        <v>200</v>
      </c>
      <c r="G111" s="952">
        <v>0.01</v>
      </c>
      <c r="H111" s="953">
        <v>0</v>
      </c>
      <c r="I111" s="953">
        <v>1E-3</v>
      </c>
      <c r="J111" s="954">
        <v>2</v>
      </c>
      <c r="K111" s="889">
        <v>43133</v>
      </c>
      <c r="L111" s="963" t="s">
        <v>473</v>
      </c>
      <c r="M111" s="813"/>
      <c r="N111" s="795"/>
    </row>
    <row r="112" spans="1:58" ht="35.1" customHeight="1" x14ac:dyDescent="0.2">
      <c r="A112" s="772"/>
      <c r="B112" s="697"/>
      <c r="C112" s="712"/>
      <c r="D112" s="842"/>
      <c r="E112" s="712"/>
      <c r="F112" s="712"/>
      <c r="G112" s="712"/>
      <c r="H112" s="712"/>
      <c r="I112" s="712"/>
      <c r="J112" s="712"/>
      <c r="K112" s="841"/>
      <c r="L112" s="712"/>
      <c r="M112" s="813"/>
      <c r="N112" s="795"/>
    </row>
    <row r="113" spans="1:14" ht="35.1" customHeight="1" thickBot="1" x14ac:dyDescent="0.25">
      <c r="A113" s="772"/>
      <c r="B113" s="697"/>
      <c r="C113" s="712"/>
      <c r="D113" s="842"/>
      <c r="E113" s="712"/>
      <c r="F113" s="712"/>
      <c r="G113" s="712"/>
      <c r="H113" s="712"/>
      <c r="I113" s="712"/>
      <c r="J113" s="712"/>
      <c r="K113" s="841"/>
      <c r="L113" s="712"/>
      <c r="M113" s="813"/>
      <c r="N113" s="795"/>
    </row>
    <row r="114" spans="1:14" ht="35.1" customHeight="1" thickBot="1" x14ac:dyDescent="0.25">
      <c r="A114" s="772"/>
      <c r="B114" s="1096" t="s">
        <v>270</v>
      </c>
      <c r="C114" s="1097"/>
      <c r="D114" s="1097"/>
      <c r="E114" s="1097"/>
      <c r="F114" s="1097"/>
      <c r="G114" s="1097"/>
      <c r="H114" s="1097"/>
      <c r="I114" s="1097"/>
      <c r="J114" s="1097"/>
      <c r="K114" s="1097"/>
      <c r="L114" s="1098"/>
      <c r="M114" s="813"/>
      <c r="N114" s="795"/>
    </row>
    <row r="115" spans="1:14" ht="60" customHeight="1" thickBot="1" x14ac:dyDescent="0.25">
      <c r="A115" s="772"/>
      <c r="B115" s="1119" t="s">
        <v>266</v>
      </c>
      <c r="C115" s="697"/>
      <c r="D115" s="873" t="s">
        <v>55</v>
      </c>
      <c r="E115" s="874" t="s">
        <v>353</v>
      </c>
      <c r="F115" s="873" t="s">
        <v>352</v>
      </c>
      <c r="G115" s="873" t="s">
        <v>244</v>
      </c>
      <c r="H115" s="873" t="s">
        <v>306</v>
      </c>
      <c r="I115" s="873" t="s">
        <v>241</v>
      </c>
      <c r="J115" s="873" t="s">
        <v>307</v>
      </c>
      <c r="K115" s="875" t="s">
        <v>243</v>
      </c>
      <c r="L115" s="964" t="s">
        <v>375</v>
      </c>
      <c r="M115" s="813"/>
      <c r="N115" s="795"/>
    </row>
    <row r="116" spans="1:14" ht="35.1" customHeight="1" x14ac:dyDescent="0.25">
      <c r="A116" s="772"/>
      <c r="B116" s="1120"/>
      <c r="C116" s="965"/>
      <c r="D116" s="665"/>
      <c r="E116" s="666"/>
      <c r="F116" s="666"/>
      <c r="G116" s="666"/>
      <c r="H116" s="666"/>
      <c r="I116" s="666"/>
      <c r="J116" s="666"/>
      <c r="K116" s="667"/>
      <c r="L116" s="668"/>
      <c r="M116" s="813"/>
      <c r="N116" s="795"/>
    </row>
    <row r="117" spans="1:14" ht="35.1" customHeight="1" thickBot="1" x14ac:dyDescent="0.25">
      <c r="A117" s="772"/>
      <c r="B117" s="1121"/>
      <c r="C117" s="915" t="s">
        <v>371</v>
      </c>
      <c r="D117" s="966" t="s">
        <v>369</v>
      </c>
      <c r="E117" s="967">
        <v>63091842</v>
      </c>
      <c r="F117" s="968">
        <v>25</v>
      </c>
      <c r="G117" s="968">
        <v>1.2999999999999999E-3</v>
      </c>
      <c r="H117" s="968">
        <v>0</v>
      </c>
      <c r="I117" s="968">
        <v>8.9999999999999993E-3</v>
      </c>
      <c r="J117" s="969">
        <v>2</v>
      </c>
      <c r="K117" s="970">
        <v>43132</v>
      </c>
      <c r="L117" s="971" t="s">
        <v>474</v>
      </c>
      <c r="M117" s="972"/>
      <c r="N117" s="795"/>
    </row>
    <row r="118" spans="1:14" ht="35.1" customHeight="1" thickBot="1" x14ac:dyDescent="0.25">
      <c r="A118" s="973"/>
      <c r="B118" s="974"/>
      <c r="C118" s="975"/>
      <c r="D118" s="976"/>
      <c r="E118" s="977"/>
      <c r="F118" s="977"/>
      <c r="G118" s="977"/>
      <c r="H118" s="977"/>
      <c r="I118" s="977"/>
      <c r="J118" s="977"/>
      <c r="K118" s="978"/>
      <c r="L118" s="979"/>
      <c r="M118" s="980"/>
      <c r="N118" s="981"/>
    </row>
    <row r="188" spans="74:77" ht="35.1" customHeight="1" x14ac:dyDescent="0.25">
      <c r="BV188" s="707"/>
      <c r="BW188" s="707"/>
      <c r="BX188" s="707"/>
      <c r="BY188" s="707"/>
    </row>
    <row r="189" spans="74:77" ht="35.1" customHeight="1" x14ac:dyDescent="0.25">
      <c r="BV189" s="707"/>
      <c r="BW189" s="707"/>
      <c r="BX189" s="707"/>
      <c r="BY189" s="707"/>
    </row>
    <row r="190" spans="74:77" ht="35.1" customHeight="1" x14ac:dyDescent="0.25">
      <c r="BV190" s="707"/>
      <c r="BW190" s="707"/>
      <c r="BX190" s="707"/>
      <c r="BY190" s="707"/>
    </row>
    <row r="191" spans="74:77" ht="35.1" customHeight="1" x14ac:dyDescent="0.25">
      <c r="BV191" s="707"/>
      <c r="BW191" s="707"/>
      <c r="BX191" s="707"/>
      <c r="BY191" s="707"/>
    </row>
  </sheetData>
  <sheetProtection algorithmName="SHA-512" hashValue="9a4PWsn7BpGHKS2Nx7O/UqqW/Fol1mSH7VhzDU5obU9arioOSHGncDgJClJp9YtCzyv/j2Kx+4FszIfRpC/aMw==" saltValue="fw9BGDLgVQs+I9dDJCTDNw==" spinCount="100000" sheet="1" objects="1" scenarios="1"/>
  <dataConsolidate/>
  <mergeCells count="46">
    <mergeCell ref="E1:M1"/>
    <mergeCell ref="B89:B91"/>
    <mergeCell ref="D5:L5"/>
    <mergeCell ref="B28:L28"/>
    <mergeCell ref="R7:V7"/>
    <mergeCell ref="T8:V8"/>
    <mergeCell ref="Q6:V6"/>
    <mergeCell ref="Q16:S16"/>
    <mergeCell ref="B21:M21"/>
    <mergeCell ref="R8:S8"/>
    <mergeCell ref="L38:L40"/>
    <mergeCell ref="D38:D40"/>
    <mergeCell ref="D42:D44"/>
    <mergeCell ref="B78:L78"/>
    <mergeCell ref="Q23:S23"/>
    <mergeCell ref="D61:D63"/>
    <mergeCell ref="D65:D67"/>
    <mergeCell ref="B46:L46"/>
    <mergeCell ref="B69:L69"/>
    <mergeCell ref="B71:B76"/>
    <mergeCell ref="B48:B67"/>
    <mergeCell ref="D49:D51"/>
    <mergeCell ref="D53:D55"/>
    <mergeCell ref="D57:D59"/>
    <mergeCell ref="D105:D111"/>
    <mergeCell ref="B115:B117"/>
    <mergeCell ref="B105:B111"/>
    <mergeCell ref="B97:B103"/>
    <mergeCell ref="B80:B86"/>
    <mergeCell ref="B94:L94"/>
    <mergeCell ref="B88:L88"/>
    <mergeCell ref="B114:L114"/>
    <mergeCell ref="D97:D103"/>
    <mergeCell ref="B41:B44"/>
    <mergeCell ref="T11:V11"/>
    <mergeCell ref="T12:V12"/>
    <mergeCell ref="Q14:S14"/>
    <mergeCell ref="T14:V14"/>
    <mergeCell ref="B35:L35"/>
    <mergeCell ref="L42:L44"/>
    <mergeCell ref="B11:N12"/>
    <mergeCell ref="U15:X15"/>
    <mergeCell ref="Q15:S15"/>
    <mergeCell ref="B37:B40"/>
    <mergeCell ref="B29:B32"/>
    <mergeCell ref="U16:X16"/>
  </mergeCells>
  <pageMargins left="0.70866141732283472" right="0.70866141732283472" top="0.74803149606299213" bottom="0.74803149606299213" header="0.31496062992125984" footer="0.31496062992125984"/>
  <pageSetup scale="10" pageOrder="overThenDown"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5"/>
  <sheetViews>
    <sheetView showGridLines="0" tabSelected="1" view="pageBreakPreview" zoomScale="90" zoomScaleNormal="100" zoomScaleSheetLayoutView="90" zoomScalePageLayoutView="25" workbookViewId="0">
      <selection activeCell="F10" sqref="F10"/>
    </sheetView>
  </sheetViews>
  <sheetFormatPr baseColWidth="10" defaultRowHeight="30" customHeight="1" x14ac:dyDescent="0.25"/>
  <cols>
    <col min="1" max="1" width="20.140625" style="11" customWidth="1"/>
    <col min="2" max="2" width="15.28515625" style="19" customWidth="1"/>
    <col min="3" max="3" width="17.5703125" style="19" customWidth="1"/>
    <col min="4" max="6" width="13.7109375" style="19" customWidth="1"/>
    <col min="7" max="7" width="14.28515625" style="19" customWidth="1"/>
    <col min="8" max="8" width="13.7109375" style="19" customWidth="1"/>
    <col min="9" max="9" width="15.85546875" style="19" customWidth="1"/>
    <col min="10" max="10" width="15" style="19" customWidth="1"/>
    <col min="11" max="11" width="16.140625" style="19" customWidth="1"/>
    <col min="12" max="12" width="15.140625" style="19" customWidth="1"/>
    <col min="13" max="13" width="15.7109375" style="19" customWidth="1"/>
    <col min="14" max="14" width="14" style="19" customWidth="1"/>
    <col min="15" max="15" width="15.42578125" style="19" customWidth="1"/>
    <col min="16" max="16" width="13.7109375" style="19" customWidth="1"/>
    <col min="17" max="18" width="13.7109375" style="11" customWidth="1"/>
    <col min="19" max="19" width="11.42578125" style="11" customWidth="1"/>
    <col min="20" max="16384" width="11.42578125" style="11"/>
  </cols>
  <sheetData>
    <row r="1" spans="1:21" ht="80.099999999999994" customHeight="1" thickBot="1" x14ac:dyDescent="0.3">
      <c r="A1" s="1201"/>
      <c r="B1" s="1202"/>
      <c r="C1" s="154"/>
      <c r="D1" s="1203" t="s">
        <v>516</v>
      </c>
      <c r="E1" s="1204"/>
      <c r="F1" s="1204"/>
      <c r="G1" s="1204"/>
      <c r="H1" s="1204"/>
      <c r="I1" s="1204"/>
      <c r="J1" s="1204"/>
      <c r="K1" s="1204"/>
      <c r="L1" s="1204"/>
      <c r="M1" s="1204"/>
      <c r="N1" s="1204"/>
      <c r="O1" s="1204"/>
      <c r="P1" s="1204"/>
      <c r="Q1" s="1204"/>
      <c r="R1" s="1205"/>
      <c r="S1" s="155"/>
    </row>
    <row r="2" spans="1:21" s="16" customFormat="1" ht="5.0999999999999996" customHeight="1" thickBot="1" x14ac:dyDescent="0.3">
      <c r="A2" s="156"/>
      <c r="B2" s="17"/>
      <c r="C2" s="19"/>
      <c r="D2" s="157"/>
      <c r="E2" s="157"/>
      <c r="F2" s="157"/>
      <c r="G2" s="157"/>
      <c r="H2" s="157"/>
      <c r="I2" s="157"/>
      <c r="J2" s="157"/>
      <c r="K2" s="157"/>
      <c r="L2" s="157"/>
      <c r="M2" s="157"/>
      <c r="N2" s="157"/>
      <c r="O2" s="157"/>
      <c r="P2" s="157"/>
      <c r="Q2" s="157"/>
      <c r="R2" s="157"/>
      <c r="S2" s="105"/>
    </row>
    <row r="3" spans="1:21" s="16" customFormat="1" ht="37.5" customHeight="1" thickBot="1" x14ac:dyDescent="0.3">
      <c r="A3" s="152" t="s">
        <v>70</v>
      </c>
      <c r="B3" s="158" t="e">
        <f>VLOOKUP($S$3,DATOS!$D$7:$L$9,2,FALSE)</f>
        <v>#N/A</v>
      </c>
      <c r="C3" s="75" t="s">
        <v>261</v>
      </c>
      <c r="D3" s="1218" t="e">
        <f>VLOOKUP(S3,DATOS!D7:L19,3,FALSE)</f>
        <v>#N/A</v>
      </c>
      <c r="E3" s="1219"/>
      <c r="F3" s="76" t="s">
        <v>263</v>
      </c>
      <c r="G3" s="611" t="e">
        <f>VLOOKUP(S3,DATOS!D7:L19,6,FALSE)</f>
        <v>#N/A</v>
      </c>
      <c r="H3" s="683"/>
      <c r="I3" s="76" t="s">
        <v>262</v>
      </c>
      <c r="J3" s="1222" t="e">
        <f>VLOOKUP(S3,DATOS!D7:L19,4,FALSE)</f>
        <v>#N/A</v>
      </c>
      <c r="K3" s="1223"/>
      <c r="L3" s="76" t="s">
        <v>32</v>
      </c>
      <c r="M3" s="983" t="e">
        <f>VLOOKUP(S3,DATOS!D7:L19,5,FALSE)</f>
        <v>#N/A</v>
      </c>
      <c r="N3" s="984"/>
      <c r="O3" s="76" t="s">
        <v>264</v>
      </c>
      <c r="P3" s="611" t="e">
        <f>VLOOKUP(S3,DATOS!D7:L19,9,FALSE)</f>
        <v>#N/A</v>
      </c>
      <c r="Q3" s="612"/>
      <c r="R3" s="612"/>
      <c r="S3" s="370">
        <v>1</v>
      </c>
      <c r="U3" s="1010"/>
    </row>
    <row r="4" spans="1:21" s="16" customFormat="1" ht="4.5" customHeight="1" thickBot="1" x14ac:dyDescent="0.3">
      <c r="A4" s="42"/>
      <c r="B4" s="19"/>
      <c r="C4" s="19"/>
      <c r="D4" s="19"/>
      <c r="E4" s="19"/>
      <c r="F4" s="19"/>
      <c r="G4" s="19"/>
      <c r="H4" s="19"/>
      <c r="I4" s="19"/>
      <c r="J4" s="19"/>
      <c r="K4" s="19"/>
      <c r="L4" s="19"/>
      <c r="M4" s="19"/>
      <c r="N4" s="19"/>
      <c r="O4" s="19"/>
      <c r="P4" s="19"/>
      <c r="Q4" s="19"/>
      <c r="R4" s="19"/>
      <c r="S4" s="105"/>
      <c r="U4" s="1010"/>
    </row>
    <row r="5" spans="1:21" ht="30" customHeight="1" x14ac:dyDescent="0.25">
      <c r="A5" s="1206" t="s">
        <v>97</v>
      </c>
      <c r="B5" s="1207"/>
      <c r="C5" s="1207"/>
      <c r="D5" s="1207"/>
      <c r="E5" s="1207"/>
      <c r="F5" s="1207"/>
      <c r="G5" s="1207"/>
      <c r="H5" s="1207"/>
      <c r="I5" s="1207"/>
      <c r="J5" s="1207"/>
      <c r="K5" s="1207"/>
      <c r="L5" s="1207"/>
      <c r="M5" s="1207"/>
      <c r="N5" s="1207"/>
      <c r="O5" s="1207"/>
      <c r="P5" s="1207"/>
      <c r="Q5" s="1207"/>
      <c r="R5" s="1208"/>
      <c r="S5" s="104"/>
    </row>
    <row r="6" spans="1:21" ht="50.1" customHeight="1" thickBot="1" x14ac:dyDescent="0.3">
      <c r="A6" s="159" t="s">
        <v>15</v>
      </c>
      <c r="B6" s="160" t="s">
        <v>245</v>
      </c>
      <c r="C6" s="160" t="s">
        <v>247</v>
      </c>
      <c r="D6" s="160" t="s">
        <v>98</v>
      </c>
      <c r="E6" s="160" t="s">
        <v>244</v>
      </c>
      <c r="F6" s="160" t="s">
        <v>98</v>
      </c>
      <c r="G6" s="160" t="s">
        <v>246</v>
      </c>
      <c r="H6" s="160" t="s">
        <v>98</v>
      </c>
      <c r="I6" s="160" t="s">
        <v>241</v>
      </c>
      <c r="J6" s="160" t="s">
        <v>98</v>
      </c>
      <c r="K6" s="161" t="s">
        <v>99</v>
      </c>
      <c r="L6" s="160" t="s">
        <v>98</v>
      </c>
      <c r="M6" s="160" t="s">
        <v>242</v>
      </c>
      <c r="N6" s="160" t="s">
        <v>98</v>
      </c>
      <c r="O6" s="160" t="s">
        <v>249</v>
      </c>
      <c r="P6" s="160" t="s">
        <v>243</v>
      </c>
      <c r="Q6" s="1209" t="s">
        <v>272</v>
      </c>
      <c r="R6" s="1210"/>
      <c r="S6" s="104"/>
    </row>
    <row r="7" spans="1:21" ht="30" customHeight="1" thickBot="1" x14ac:dyDescent="0.3">
      <c r="A7" s="162" t="s">
        <v>1</v>
      </c>
      <c r="B7" s="163" t="e">
        <f>VLOOKUP(S7,DATOS!C30:K32,3,FALSE)</f>
        <v>#N/A</v>
      </c>
      <c r="C7" s="164" t="e">
        <f>VLOOKUP(S7,DATOS!C30:K32,4,FALSE)</f>
        <v>#N/A</v>
      </c>
      <c r="D7" s="165" t="s">
        <v>4</v>
      </c>
      <c r="E7" s="166" t="e">
        <f>VLOOKUP(S7,DATOS!C30:K32,5,FALSE)</f>
        <v>#N/A</v>
      </c>
      <c r="F7" s="165" t="s">
        <v>4</v>
      </c>
      <c r="G7" s="164" t="e">
        <f>VLOOKUP(S7,DATOS!C30:K32,6,FALSE)</f>
        <v>#N/A</v>
      </c>
      <c r="H7" s="165" t="s">
        <v>100</v>
      </c>
      <c r="I7" s="166" t="e">
        <f>VLOOKUP(S7,DATOS!C30:K32,7,FALSE)</f>
        <v>#N/A</v>
      </c>
      <c r="J7" s="165" t="s">
        <v>4</v>
      </c>
      <c r="K7" s="167" t="e">
        <f>(0+I7/2)/SQRT(12)</f>
        <v>#N/A</v>
      </c>
      <c r="L7" s="165" t="s">
        <v>4</v>
      </c>
      <c r="M7" s="168" t="e">
        <f t="shared" ref="M7:M21" si="0">SQRT((I7/2)^2+(K7)^2)</f>
        <v>#N/A</v>
      </c>
      <c r="N7" s="165" t="s">
        <v>4</v>
      </c>
      <c r="O7" s="166" t="e">
        <f>VLOOKUP(S7,DATOS!C30:K32,8,FALSE)</f>
        <v>#N/A</v>
      </c>
      <c r="P7" s="163" t="e">
        <f>VLOOKUP(S7,DATOS!C30:K32,9,FALSE)</f>
        <v>#N/A</v>
      </c>
      <c r="Q7" s="1062"/>
      <c r="R7" s="1063"/>
      <c r="S7" s="370"/>
    </row>
    <row r="8" spans="1:21" ht="30" customHeight="1" x14ac:dyDescent="0.25">
      <c r="A8" s="1196" t="s">
        <v>101</v>
      </c>
      <c r="B8" s="170" t="e">
        <f>VLOOKUP($S$8,DATOS!$C$37:$K$44,3,FALSE)</f>
        <v>#N/A</v>
      </c>
      <c r="C8" s="171" t="e">
        <f>VLOOKUP(S8,DATOS!$C$37:$K$44,4,FALSE)</f>
        <v>#N/A</v>
      </c>
      <c r="D8" s="172" t="s">
        <v>3</v>
      </c>
      <c r="E8" s="171" t="e">
        <f>VLOOKUP(S8,DATOS!$C$37:$K$44,5,FALSE)</f>
        <v>#N/A</v>
      </c>
      <c r="F8" s="173" t="s">
        <v>3</v>
      </c>
      <c r="G8" s="171" t="e">
        <f>VLOOKUP(S8,DATOS!$C$37:$K$44,6,FALSE)</f>
        <v>#N/A</v>
      </c>
      <c r="H8" s="173" t="s">
        <v>3</v>
      </c>
      <c r="I8" s="171" t="e">
        <f>VLOOKUP(S8,DATOS!$C$37:$K$44,7,FALSE)</f>
        <v>#N/A</v>
      </c>
      <c r="J8" s="173" t="s">
        <v>3</v>
      </c>
      <c r="K8" s="174" t="e">
        <f>(I8/2)/SQRT(12)</f>
        <v>#N/A</v>
      </c>
      <c r="L8" s="173" t="s">
        <v>3</v>
      </c>
      <c r="M8" s="175" t="e">
        <f t="shared" si="0"/>
        <v>#N/A</v>
      </c>
      <c r="N8" s="173" t="s">
        <v>3</v>
      </c>
      <c r="O8" s="176" t="e">
        <f>VLOOKUP(S8,DATOS!$C$37:$K$44,8,FALSE)</f>
        <v>#N/A</v>
      </c>
      <c r="P8" s="177" t="e">
        <f>VLOOKUP(S8,DATOS!$C$37:$K$44,9,FALSE)</f>
        <v>#N/A</v>
      </c>
      <c r="Q8" s="1064" t="s">
        <v>521</v>
      </c>
      <c r="R8" s="41"/>
      <c r="S8" s="601"/>
    </row>
    <row r="9" spans="1:21" ht="30" customHeight="1" x14ac:dyDescent="0.25">
      <c r="A9" s="1197"/>
      <c r="B9" s="170" t="e">
        <f>VLOOKUP(S9,DATOS!$C$37:$K$44,3,FALSE)</f>
        <v>#N/A</v>
      </c>
      <c r="C9" s="171" t="e">
        <f>VLOOKUP(S9,DATOS!$C$37:$K$44,4,FALSE)</f>
        <v>#N/A</v>
      </c>
      <c r="D9" s="172" t="s">
        <v>3</v>
      </c>
      <c r="E9" s="171" t="e">
        <f>VLOOKUP(S9,DATOS!$C$37:$K$44,5,FALSE)</f>
        <v>#N/A</v>
      </c>
      <c r="F9" s="173" t="s">
        <v>3</v>
      </c>
      <c r="G9" s="171" t="e">
        <f>VLOOKUP(S9,DATOS!$C$37:$K$44,6,FALSE)</f>
        <v>#N/A</v>
      </c>
      <c r="H9" s="173" t="s">
        <v>3</v>
      </c>
      <c r="I9" s="171" t="e">
        <f>VLOOKUP(S9,DATOS!$C$37:$K$44,7,FALSE)</f>
        <v>#N/A</v>
      </c>
      <c r="J9" s="173" t="s">
        <v>3</v>
      </c>
      <c r="K9" s="174" t="e">
        <f t="shared" ref="K9:K21" si="1">(I9/2)/SQRT(12)</f>
        <v>#N/A</v>
      </c>
      <c r="L9" s="173" t="s">
        <v>3</v>
      </c>
      <c r="M9" s="175" t="e">
        <f t="shared" si="0"/>
        <v>#N/A</v>
      </c>
      <c r="N9" s="173" t="s">
        <v>3</v>
      </c>
      <c r="O9" s="176" t="e">
        <f>VLOOKUP(S9,DATOS!$C$37:$K$44,8,FALSE)</f>
        <v>#N/A</v>
      </c>
      <c r="P9" s="177" t="e">
        <f>VLOOKUP(S9,DATOS!$C$37:$K$44,9,FALSE)</f>
        <v>#N/A</v>
      </c>
      <c r="Q9" s="1065"/>
      <c r="R9" s="41"/>
      <c r="S9" s="603"/>
    </row>
    <row r="10" spans="1:21" s="15" customFormat="1" ht="30" customHeight="1" thickBot="1" x14ac:dyDescent="0.3">
      <c r="A10" s="1211"/>
      <c r="B10" s="170" t="e">
        <f>VLOOKUP(S10,DATOS!$C$37:$K$44,3,FALSE)</f>
        <v>#N/A</v>
      </c>
      <c r="C10" s="171" t="e">
        <f>VLOOKUP(S10,DATOS!$C$37:$K$44,4,FALSE)</f>
        <v>#N/A</v>
      </c>
      <c r="D10" s="172" t="s">
        <v>3</v>
      </c>
      <c r="E10" s="171" t="e">
        <f>VLOOKUP(S10,DATOS!$C$37:$K$44,5,FALSE)</f>
        <v>#N/A</v>
      </c>
      <c r="F10" s="173" t="s">
        <v>328</v>
      </c>
      <c r="G10" s="171" t="e">
        <f>VLOOKUP(S10,DATOS!$C$37:$K$44,6,FALSE)</f>
        <v>#N/A</v>
      </c>
      <c r="H10" s="173" t="s">
        <v>3</v>
      </c>
      <c r="I10" s="171" t="e">
        <f>VLOOKUP(S10,DATOS!$C$37:$K$44,7,FALSE)</f>
        <v>#N/A</v>
      </c>
      <c r="J10" s="173" t="s">
        <v>3</v>
      </c>
      <c r="K10" s="174" t="e">
        <f t="shared" si="1"/>
        <v>#N/A</v>
      </c>
      <c r="L10" s="173" t="s">
        <v>3</v>
      </c>
      <c r="M10" s="175" t="e">
        <f t="shared" si="0"/>
        <v>#N/A</v>
      </c>
      <c r="N10" s="173" t="s">
        <v>3</v>
      </c>
      <c r="O10" s="176" t="e">
        <f>VLOOKUP(S10,DATOS!$C$37:$K$44,8,FALSE)</f>
        <v>#N/A</v>
      </c>
      <c r="P10" s="177" t="e">
        <f>VLOOKUP(S10,DATOS!$C$37:$K$44,9,FALSE)</f>
        <v>#N/A</v>
      </c>
      <c r="Q10" s="1065"/>
      <c r="R10" s="41"/>
      <c r="S10" s="602"/>
    </row>
    <row r="11" spans="1:21" s="15" customFormat="1" ht="30" customHeight="1" x14ac:dyDescent="0.25">
      <c r="A11" s="1196" t="s">
        <v>102</v>
      </c>
      <c r="B11" s="170" t="e">
        <f>VLOOKUP(S11,DATOS!$C$37:$K$44,3,FALSE)</f>
        <v>#N/A</v>
      </c>
      <c r="C11" s="171" t="e">
        <f>VLOOKUP(S11,DATOS!$C$37:$K$44,4,FALSE)</f>
        <v>#N/A</v>
      </c>
      <c r="D11" s="172" t="s">
        <v>3</v>
      </c>
      <c r="E11" s="171" t="e">
        <f>VLOOKUP(S11,DATOS!$C$37:$K$44,5,FALSE)</f>
        <v>#N/A</v>
      </c>
      <c r="F11" s="173" t="s">
        <v>3</v>
      </c>
      <c r="G11" s="171" t="e">
        <f>VLOOKUP(S11,DATOS!$C$37:$K$44,6,FALSE)</f>
        <v>#N/A</v>
      </c>
      <c r="H11" s="173" t="s">
        <v>3</v>
      </c>
      <c r="I11" s="179" t="e">
        <f>VLOOKUP(S11,DATOS!$C$37:$K$44,7,FALSE)</f>
        <v>#N/A</v>
      </c>
      <c r="J11" s="173" t="s">
        <v>3</v>
      </c>
      <c r="K11" s="174" t="e">
        <f>(I11/2)/SQRT(12)</f>
        <v>#N/A</v>
      </c>
      <c r="L11" s="173" t="s">
        <v>3</v>
      </c>
      <c r="M11" s="175" t="e">
        <f t="shared" ref="M11:M13" si="2">SQRT((I11/2)^2+(K11)^2)</f>
        <v>#N/A</v>
      </c>
      <c r="N11" s="173" t="s">
        <v>3</v>
      </c>
      <c r="O11" s="176" t="e">
        <f>VLOOKUP(S11,DATOS!$C$37:$K$44,8,FALSE)</f>
        <v>#N/A</v>
      </c>
      <c r="P11" s="177" t="e">
        <f>VLOOKUP(S11,DATOS!$C$37:$K$44,9,FALSE)</f>
        <v>#N/A</v>
      </c>
      <c r="Q11" s="1065"/>
      <c r="R11" s="41"/>
      <c r="S11" s="601"/>
    </row>
    <row r="12" spans="1:21" s="15" customFormat="1" ht="30" customHeight="1" x14ac:dyDescent="0.25">
      <c r="A12" s="1197"/>
      <c r="B12" s="170" t="e">
        <f>VLOOKUP(S12,DATOS!$C$37:$K$44,3,FALSE)</f>
        <v>#N/A</v>
      </c>
      <c r="C12" s="171" t="e">
        <f>VLOOKUP(S12,DATOS!$C$37:$K$44,4,FALSE)</f>
        <v>#N/A</v>
      </c>
      <c r="D12" s="172" t="s">
        <v>3</v>
      </c>
      <c r="E12" s="171" t="e">
        <f>VLOOKUP(S12,DATOS!$C$37:$K$44,5,FALSE)</f>
        <v>#N/A</v>
      </c>
      <c r="F12" s="173" t="s">
        <v>3</v>
      </c>
      <c r="G12" s="171" t="e">
        <f>VLOOKUP(S12,DATOS!$C$37:$K$44,6,FALSE)</f>
        <v>#N/A</v>
      </c>
      <c r="H12" s="173" t="s">
        <v>3</v>
      </c>
      <c r="I12" s="179" t="e">
        <f>VLOOKUP(S12,DATOS!$C$37:$K$44,7,FALSE)</f>
        <v>#N/A</v>
      </c>
      <c r="J12" s="173" t="s">
        <v>3</v>
      </c>
      <c r="K12" s="174" t="e">
        <f t="shared" ref="K12:K13" si="3">(I12/2)/SQRT(12)</f>
        <v>#N/A</v>
      </c>
      <c r="L12" s="173" t="s">
        <v>3</v>
      </c>
      <c r="M12" s="175" t="e">
        <f t="shared" si="2"/>
        <v>#N/A</v>
      </c>
      <c r="N12" s="173" t="s">
        <v>3</v>
      </c>
      <c r="O12" s="176" t="e">
        <f>VLOOKUP(S12,DATOS!$C$37:$K$44,8,FALSE)</f>
        <v>#N/A</v>
      </c>
      <c r="P12" s="177" t="e">
        <f>VLOOKUP(S12,DATOS!$C$37:$K$44,9,FALSE)</f>
        <v>#N/A</v>
      </c>
      <c r="Q12" s="1064" t="s">
        <v>522</v>
      </c>
      <c r="R12" s="41"/>
      <c r="S12" s="603"/>
    </row>
    <row r="13" spans="1:21" s="15" customFormat="1" ht="30" customHeight="1" thickBot="1" x14ac:dyDescent="0.3">
      <c r="A13" s="1198"/>
      <c r="B13" s="170" t="e">
        <f>VLOOKUP(S13,DATOS!$C$37:$K$44,3,FALSE)</f>
        <v>#N/A</v>
      </c>
      <c r="C13" s="171" t="e">
        <f>VLOOKUP(S13,DATOS!$C$37:$K$44,4,FALSE)</f>
        <v>#N/A</v>
      </c>
      <c r="D13" s="172" t="s">
        <v>3</v>
      </c>
      <c r="E13" s="171" t="e">
        <f>VLOOKUP(S13,DATOS!$C$37:$K$44,5,FALSE)</f>
        <v>#N/A</v>
      </c>
      <c r="F13" s="173" t="s">
        <v>3</v>
      </c>
      <c r="G13" s="171" t="e">
        <f>VLOOKUP(S13,DATOS!$C$37:$K$44,6,FALSE)</f>
        <v>#N/A</v>
      </c>
      <c r="H13" s="173" t="s">
        <v>3</v>
      </c>
      <c r="I13" s="179" t="e">
        <f>VLOOKUP(S13,DATOS!$C$37:$K$44,7,FALSE)</f>
        <v>#N/A</v>
      </c>
      <c r="J13" s="173" t="s">
        <v>3</v>
      </c>
      <c r="K13" s="174" t="e">
        <f t="shared" si="3"/>
        <v>#N/A</v>
      </c>
      <c r="L13" s="173" t="s">
        <v>3</v>
      </c>
      <c r="M13" s="175" t="e">
        <f t="shared" si="2"/>
        <v>#N/A</v>
      </c>
      <c r="N13" s="173" t="s">
        <v>3</v>
      </c>
      <c r="O13" s="176" t="e">
        <f>VLOOKUP(S13,DATOS!$C$37:$K$44,8,FALSE)</f>
        <v>#N/A</v>
      </c>
      <c r="P13" s="177" t="e">
        <f>VLOOKUP(S13,DATOS!$C$37:$K$44,9,FALSE)</f>
        <v>#N/A</v>
      </c>
      <c r="Q13" s="1066"/>
      <c r="R13" s="41"/>
      <c r="S13" s="602"/>
    </row>
    <row r="14" spans="1:21" s="15" customFormat="1" ht="30" customHeight="1" x14ac:dyDescent="0.25">
      <c r="A14" s="1196" t="s">
        <v>248</v>
      </c>
      <c r="B14" s="180" t="e">
        <f>VLOOKUP(S14,DATOS!$C$48:$K$51,3,FALSE)</f>
        <v>#N/A</v>
      </c>
      <c r="C14" s="181" t="e">
        <f>VLOOKUP(S14,DATOS!$C$48:$K$51,4,FALSE)</f>
        <v>#N/A</v>
      </c>
      <c r="D14" s="172" t="s">
        <v>3</v>
      </c>
      <c r="E14" s="181" t="e">
        <f>VLOOKUP(S14,DATOS!$C$48:$K$51,5,FALSE)</f>
        <v>#N/A</v>
      </c>
      <c r="F14" s="173" t="s">
        <v>3</v>
      </c>
      <c r="G14" s="181" t="e">
        <f>VLOOKUP(S14,DATOS!$C$48:$K$51,6,FALSE)</f>
        <v>#N/A</v>
      </c>
      <c r="H14" s="172" t="s">
        <v>3</v>
      </c>
      <c r="I14" s="181" t="e">
        <f>VLOOKUP(S14,DATOS!$C$48:$K$51,7,FALSE)</f>
        <v>#N/A</v>
      </c>
      <c r="J14" s="172" t="s">
        <v>3</v>
      </c>
      <c r="K14" s="174" t="e">
        <f t="shared" si="1"/>
        <v>#N/A</v>
      </c>
      <c r="L14" s="172" t="s">
        <v>3</v>
      </c>
      <c r="M14" s="175" t="e">
        <f t="shared" si="0"/>
        <v>#N/A</v>
      </c>
      <c r="N14" s="172" t="s">
        <v>3</v>
      </c>
      <c r="O14" s="179" t="e">
        <f>VLOOKUP(S14,DATOS!$C$48:$K$51,8,FALSE)</f>
        <v>#N/A</v>
      </c>
      <c r="P14" s="177" t="e">
        <f>VLOOKUP(S14,DATOS!$C$48:$K$51,9,FALSE)</f>
        <v>#N/A</v>
      </c>
      <c r="Q14" s="182"/>
      <c r="R14" s="12"/>
      <c r="S14" s="601"/>
    </row>
    <row r="15" spans="1:21" s="15" customFormat="1" ht="30" customHeight="1" x14ac:dyDescent="0.25">
      <c r="A15" s="1197"/>
      <c r="B15" s="180" t="e">
        <f>VLOOKUP(S15,DATOS!$C$48:$K$51,3,FALSE)</f>
        <v>#N/A</v>
      </c>
      <c r="C15" s="181" t="e">
        <f>VLOOKUP(S15,DATOS!$C$48:$K$51,4,FALSE)</f>
        <v>#N/A</v>
      </c>
      <c r="D15" s="172" t="s">
        <v>225</v>
      </c>
      <c r="E15" s="181" t="e">
        <f>VLOOKUP(S15,DATOS!$C$48:$K$51,5,FALSE)</f>
        <v>#N/A</v>
      </c>
      <c r="F15" s="172" t="s">
        <v>225</v>
      </c>
      <c r="G15" s="181" t="e">
        <f>VLOOKUP(S15,DATOS!$C$48:$K$51,6,FALSE)</f>
        <v>#N/A</v>
      </c>
      <c r="H15" s="172" t="s">
        <v>225</v>
      </c>
      <c r="I15" s="181" t="e">
        <f>VLOOKUP(S15,DATOS!$C$48:$K$51,7,FALSE)</f>
        <v>#N/A</v>
      </c>
      <c r="J15" s="172" t="s">
        <v>225</v>
      </c>
      <c r="K15" s="174" t="e">
        <f t="shared" si="1"/>
        <v>#N/A</v>
      </c>
      <c r="L15" s="172" t="s">
        <v>225</v>
      </c>
      <c r="M15" s="175" t="e">
        <f t="shared" si="0"/>
        <v>#N/A</v>
      </c>
      <c r="N15" s="172" t="s">
        <v>225</v>
      </c>
      <c r="O15" s="179" t="e">
        <f>VLOOKUP(S15,DATOS!$C$48:$K$51,8,FALSE)</f>
        <v>#N/A</v>
      </c>
      <c r="P15" s="177" t="e">
        <f>VLOOKUP(S15,DATOS!$C$48:$K$51,9,FALSE)</f>
        <v>#N/A</v>
      </c>
      <c r="Q15" s="182"/>
      <c r="R15" s="12"/>
      <c r="S15" s="603"/>
    </row>
    <row r="16" spans="1:21" s="15" customFormat="1" ht="30" customHeight="1" thickBot="1" x14ac:dyDescent="0.3">
      <c r="A16" s="1198"/>
      <c r="B16" s="180" t="e">
        <f>VLOOKUP(S16,DATOS!$C$48:$K$51,3,FALSE)</f>
        <v>#N/A</v>
      </c>
      <c r="C16" s="181" t="e">
        <f>VLOOKUP(S16,DATOS!$C$48:$K$51,4,FALSE)</f>
        <v>#N/A</v>
      </c>
      <c r="D16" s="172" t="s">
        <v>17</v>
      </c>
      <c r="E16" s="181" t="e">
        <f>VLOOKUP(S16,DATOS!$C$48:$K$51,5,FALSE)</f>
        <v>#N/A</v>
      </c>
      <c r="F16" s="172" t="s">
        <v>17</v>
      </c>
      <c r="G16" s="181" t="e">
        <f>VLOOKUP(S16,DATOS!$C$48:$K$51,6,FALSE)</f>
        <v>#N/A</v>
      </c>
      <c r="H16" s="172" t="s">
        <v>17</v>
      </c>
      <c r="I16" s="181" t="e">
        <f>VLOOKUP(S16,DATOS!$C$48:$K$51,7,FALSE)</f>
        <v>#N/A</v>
      </c>
      <c r="J16" s="172" t="s">
        <v>17</v>
      </c>
      <c r="K16" s="174" t="e">
        <f t="shared" si="1"/>
        <v>#N/A</v>
      </c>
      <c r="L16" s="172" t="s">
        <v>17</v>
      </c>
      <c r="M16" s="175" t="e">
        <f t="shared" si="0"/>
        <v>#N/A</v>
      </c>
      <c r="N16" s="172" t="s">
        <v>17</v>
      </c>
      <c r="O16" s="176" t="e">
        <f>VLOOKUP(S16,DATOS!$C$48:$K$51,8,FALSE)</f>
        <v>#N/A</v>
      </c>
      <c r="P16" s="177" t="e">
        <f>VLOOKUP(S16,DATOS!$C$48:$K$51,9,FALSE)</f>
        <v>#N/A</v>
      </c>
      <c r="Q16" s="182"/>
      <c r="R16" s="12"/>
      <c r="S16" s="602"/>
    </row>
    <row r="17" spans="1:21" s="15" customFormat="1" ht="29.25" customHeight="1" thickBot="1" x14ac:dyDescent="0.3">
      <c r="A17" s="183" t="s">
        <v>254</v>
      </c>
      <c r="B17" s="176" t="e">
        <f>VLOOKUP(S17,DATOS!$C$71:$K$76,3,FALSE)</f>
        <v>#N/A</v>
      </c>
      <c r="C17" s="179" t="e">
        <f>VLOOKUP(S17,DATOS!$C$71:$K$76,4,FALSE)</f>
        <v>#N/A</v>
      </c>
      <c r="D17" s="172" t="s">
        <v>4</v>
      </c>
      <c r="E17" s="179" t="e">
        <f>VLOOKUP(S17,DATOS!$C$71:$K$76,5,FALSE)</f>
        <v>#N/A</v>
      </c>
      <c r="F17" s="172" t="s">
        <v>4</v>
      </c>
      <c r="G17" s="179" t="e">
        <f>VLOOKUP(S17,DATOS!$C$71:$K$76,6,FALSE)</f>
        <v>#N/A</v>
      </c>
      <c r="H17" s="172" t="s">
        <v>4</v>
      </c>
      <c r="I17" s="179" t="e">
        <f>VLOOKUP(S17,DATOS!$C$71:$K$76,7,FALSE)</f>
        <v>#N/A</v>
      </c>
      <c r="J17" s="172" t="s">
        <v>4</v>
      </c>
      <c r="K17" s="174" t="e">
        <f>(I17/2)/SQRT(12)</f>
        <v>#N/A</v>
      </c>
      <c r="L17" s="172" t="s">
        <v>4</v>
      </c>
      <c r="M17" s="175" t="e">
        <f t="shared" si="0"/>
        <v>#N/A</v>
      </c>
      <c r="N17" s="172" t="s">
        <v>4</v>
      </c>
      <c r="O17" s="176" t="e">
        <f>VLOOKUP(S17,DATOS!$C$71:$K$76,8,FALSE)</f>
        <v>#N/A</v>
      </c>
      <c r="P17" s="177" t="e">
        <f>VLOOKUP(S17,DATOS!$C$71:$K$76,9,FALSE)</f>
        <v>#N/A</v>
      </c>
      <c r="Q17" s="182"/>
      <c r="R17" s="12"/>
      <c r="S17" s="604"/>
    </row>
    <row r="18" spans="1:21" s="15" customFormat="1" ht="30" customHeight="1" x14ac:dyDescent="0.25">
      <c r="A18" s="1196" t="s">
        <v>255</v>
      </c>
      <c r="B18" s="1216" t="e">
        <f>VLOOKUP(S18,DATOS!$C$80:$K$86,3,FALSE)</f>
        <v>#N/A</v>
      </c>
      <c r="C18" s="1199" t="e">
        <f>VLOOKUP(S18,DATOS!$C$80:$K$86,4,FALSE)</f>
        <v>#N/A</v>
      </c>
      <c r="D18" s="1214" t="s">
        <v>4</v>
      </c>
      <c r="E18" s="1216" t="e">
        <f>VLOOKUP(S18,DATOS!$C$80:$K$86,5,FALSE)</f>
        <v>#N/A</v>
      </c>
      <c r="F18" s="1214" t="s">
        <v>4</v>
      </c>
      <c r="G18" s="1199" t="e">
        <f>VLOOKUP(S18,DATOS!$C$80:$K$86,6,FALSE)</f>
        <v>#N/A</v>
      </c>
      <c r="H18" s="1214" t="s">
        <v>4</v>
      </c>
      <c r="I18" s="1212" t="e">
        <f>VLOOKUP(S18,DATOS!$C$80:$K$86,7,FALSE)</f>
        <v>#N/A</v>
      </c>
      <c r="J18" s="1214" t="s">
        <v>4</v>
      </c>
      <c r="K18" s="1215" t="e">
        <f t="shared" si="1"/>
        <v>#N/A</v>
      </c>
      <c r="L18" s="1224" t="s">
        <v>4</v>
      </c>
      <c r="M18" s="1236" t="e">
        <f t="shared" si="0"/>
        <v>#N/A</v>
      </c>
      <c r="N18" s="1224" t="s">
        <v>4</v>
      </c>
      <c r="O18" s="1216" t="e">
        <f>VLOOKUP(S18,DATOS!$C$80:$K$86,8,FALSE)</f>
        <v>#N/A</v>
      </c>
      <c r="P18" s="1220" t="e">
        <f>VLOOKUP(S18,DATOS!$C$80:$K$86,9,FALSE)</f>
        <v>#N/A</v>
      </c>
      <c r="Q18" s="1049">
        <v>50</v>
      </c>
      <c r="R18" s="1050">
        <v>50.14</v>
      </c>
      <c r="S18" s="1176"/>
    </row>
    <row r="19" spans="1:21" s="15" customFormat="1" ht="30" customHeight="1" thickBot="1" x14ac:dyDescent="0.3">
      <c r="A19" s="1198"/>
      <c r="B19" s="1217"/>
      <c r="C19" s="1200"/>
      <c r="D19" s="1214"/>
      <c r="E19" s="1217"/>
      <c r="F19" s="1214"/>
      <c r="G19" s="1200"/>
      <c r="H19" s="1214"/>
      <c r="I19" s="1213"/>
      <c r="J19" s="1214"/>
      <c r="K19" s="1215"/>
      <c r="L19" s="1224"/>
      <c r="M19" s="1236"/>
      <c r="N19" s="1224"/>
      <c r="O19" s="1217"/>
      <c r="P19" s="1221"/>
      <c r="Q19" s="1051">
        <v>500</v>
      </c>
      <c r="R19" s="1050">
        <v>499.68</v>
      </c>
      <c r="S19" s="1177"/>
    </row>
    <row r="20" spans="1:21" s="13" customFormat="1" ht="30" customHeight="1" thickBot="1" x14ac:dyDescent="0.3">
      <c r="A20" s="184" t="s">
        <v>103</v>
      </c>
      <c r="B20" s="176" t="e">
        <f>VLOOKUP(S20,DATOS!$C$90:$K$91,3,FALSE)</f>
        <v>#N/A</v>
      </c>
      <c r="C20" s="176" t="e">
        <f>VLOOKUP(S20,DATOS!$C$90:$K$91,4,FALSE)</f>
        <v>#N/A</v>
      </c>
      <c r="D20" s="172" t="s">
        <v>252</v>
      </c>
      <c r="E20" s="185" t="e">
        <f>VLOOKUP(S20,DATOS!$C$90:$K$91,5,FALSE)</f>
        <v>#N/A</v>
      </c>
      <c r="F20" s="172" t="s">
        <v>252</v>
      </c>
      <c r="G20" s="171" t="e">
        <f>VLOOKUP(S20,DATOS!$C$90:$K$91,6,FALSE)</f>
        <v>#N/A</v>
      </c>
      <c r="H20" s="172" t="s">
        <v>252</v>
      </c>
      <c r="I20" s="186" t="e">
        <f>VLOOKUP(S20,DATOS!$C$90:$K$91,7,FALSE)</f>
        <v>#N/A</v>
      </c>
      <c r="J20" s="172" t="s">
        <v>252</v>
      </c>
      <c r="K20" s="187" t="e">
        <f t="shared" si="1"/>
        <v>#N/A</v>
      </c>
      <c r="L20" s="172" t="s">
        <v>252</v>
      </c>
      <c r="M20" s="175" t="e">
        <f t="shared" si="0"/>
        <v>#N/A</v>
      </c>
      <c r="N20" s="175" t="s">
        <v>252</v>
      </c>
      <c r="O20" s="181" t="e">
        <f>VLOOKUP(S20,DATOS!$C$90:$K$91,8,FALSE)</f>
        <v>#N/A</v>
      </c>
      <c r="P20" s="177" t="e">
        <f>VLOOKUP(S20,DATOS!$C$90:$K$91,9,FALSE)</f>
        <v>#N/A</v>
      </c>
      <c r="Q20" s="188"/>
      <c r="R20" s="189"/>
      <c r="S20" s="370"/>
    </row>
    <row r="21" spans="1:21" s="15" customFormat="1" ht="30" customHeight="1" thickBot="1" x14ac:dyDescent="0.3">
      <c r="A21" s="159" t="s">
        <v>104</v>
      </c>
      <c r="B21" s="190" t="e">
        <f>VLOOKUP(S21,DATOS!$C$96:$K$111,3,FALSE)</f>
        <v>#N/A</v>
      </c>
      <c r="C21" s="190" t="e">
        <f>VLOOKUP(S21,DATOS!$C$96:$K$111,4,FALSE)</f>
        <v>#N/A</v>
      </c>
      <c r="D21" s="191" t="s">
        <v>226</v>
      </c>
      <c r="E21" s="192" t="e">
        <f>VLOOKUP(S21,DATOS!$C$96:$K$111,5,FALSE)</f>
        <v>#N/A</v>
      </c>
      <c r="F21" s="191" t="s">
        <v>226</v>
      </c>
      <c r="G21" s="192" t="e">
        <f>VLOOKUP(S21,DATOS!$C$96:$K$111,6,FALSE)</f>
        <v>#N/A</v>
      </c>
      <c r="H21" s="191" t="s">
        <v>226</v>
      </c>
      <c r="I21" s="593" t="e">
        <f>VLOOKUP(S21,DATOS!$C$96:$K$111,7,FALSE)</f>
        <v>#N/A</v>
      </c>
      <c r="J21" s="191" t="s">
        <v>226</v>
      </c>
      <c r="K21" s="193" t="e">
        <f t="shared" si="1"/>
        <v>#N/A</v>
      </c>
      <c r="L21" s="191" t="s">
        <v>226</v>
      </c>
      <c r="M21" s="194" t="e">
        <f t="shared" si="0"/>
        <v>#N/A</v>
      </c>
      <c r="N21" s="191" t="s">
        <v>226</v>
      </c>
      <c r="O21" s="190" t="e">
        <f>VLOOKUP(S21,DATOS!$C$96:$K$111,8,FALSE)</f>
        <v>#N/A</v>
      </c>
      <c r="P21" s="195" t="e">
        <f>VLOOKUP(S21,DATOS!$C$96:$K$111,9,FALSE)</f>
        <v>#N/A</v>
      </c>
      <c r="Q21" s="196"/>
      <c r="R21" s="197"/>
      <c r="S21" s="602"/>
    </row>
    <row r="22" spans="1:21" s="19" customFormat="1" ht="30" customHeight="1" thickBot="1" x14ac:dyDescent="0.3">
      <c r="A22" s="198"/>
      <c r="B22" s="199"/>
      <c r="C22" s="199"/>
      <c r="D22" s="199"/>
      <c r="E22" s="17"/>
      <c r="F22" s="199"/>
      <c r="G22" s="17"/>
      <c r="H22" s="199"/>
      <c r="I22" s="17"/>
      <c r="J22" s="17"/>
      <c r="K22" s="17"/>
      <c r="L22" s="17"/>
      <c r="M22" s="17"/>
      <c r="N22" s="17"/>
      <c r="O22" s="17"/>
      <c r="P22" s="17"/>
      <c r="Q22" s="17"/>
      <c r="R22" s="17"/>
      <c r="S22" s="200"/>
    </row>
    <row r="23" spans="1:21" ht="30" customHeight="1" thickBot="1" x14ac:dyDescent="0.3">
      <c r="A23" s="42"/>
      <c r="B23" s="1227" t="s">
        <v>105</v>
      </c>
      <c r="C23" s="1228"/>
      <c r="D23" s="1228"/>
      <c r="E23" s="1228"/>
      <c r="F23" s="1228"/>
      <c r="G23" s="1229"/>
      <c r="H23" s="201"/>
      <c r="I23" s="1227" t="s">
        <v>106</v>
      </c>
      <c r="J23" s="1228"/>
      <c r="K23" s="1228"/>
      <c r="L23" s="1228"/>
      <c r="M23" s="1228"/>
      <c r="N23" s="1228"/>
      <c r="O23" s="1228"/>
      <c r="P23" s="1228"/>
      <c r="Q23" s="1229"/>
      <c r="R23" s="202"/>
      <c r="S23" s="104"/>
    </row>
    <row r="24" spans="1:21" ht="30" customHeight="1" thickBot="1" x14ac:dyDescent="0.3">
      <c r="A24" s="42"/>
      <c r="B24" s="1233" t="s">
        <v>107</v>
      </c>
      <c r="C24" s="1231"/>
      <c r="D24" s="1230" t="s">
        <v>1</v>
      </c>
      <c r="E24" s="1231"/>
      <c r="F24" s="1230" t="s">
        <v>0</v>
      </c>
      <c r="G24" s="1232"/>
      <c r="H24" s="201"/>
      <c r="I24" s="1189" t="s">
        <v>98</v>
      </c>
      <c r="J24" s="1191" t="s">
        <v>64</v>
      </c>
      <c r="K24" s="1191" t="s">
        <v>65</v>
      </c>
      <c r="L24" s="1191" t="s">
        <v>230</v>
      </c>
      <c r="M24" s="1234" t="s">
        <v>108</v>
      </c>
      <c r="O24" s="1225" t="s">
        <v>109</v>
      </c>
      <c r="P24" s="1237" t="s">
        <v>110</v>
      </c>
      <c r="Q24" s="1239" t="s">
        <v>111</v>
      </c>
      <c r="R24" s="18"/>
      <c r="S24" s="104"/>
      <c r="U24" s="1009"/>
    </row>
    <row r="25" spans="1:21" ht="30" customHeight="1" thickBot="1" x14ac:dyDescent="0.3">
      <c r="A25" s="370"/>
      <c r="B25" s="1180" t="s">
        <v>55</v>
      </c>
      <c r="C25" s="1181"/>
      <c r="D25" s="175" t="e">
        <f>VLOOKUP($A$25,DATOS!$B$24:$M$26,2,FALSE)</f>
        <v>#N/A</v>
      </c>
      <c r="E25" s="175"/>
      <c r="F25" s="175" t="e">
        <f>VLOOKUP($H$25,DATOS!$B$14:$N$16,2,FALSE)</f>
        <v>#N/A</v>
      </c>
      <c r="G25" s="203"/>
      <c r="H25" s="370"/>
      <c r="I25" s="1190"/>
      <c r="J25" s="1192"/>
      <c r="K25" s="1192"/>
      <c r="L25" s="1192"/>
      <c r="M25" s="1235"/>
      <c r="O25" s="1226"/>
      <c r="P25" s="1238"/>
      <c r="Q25" s="1240"/>
      <c r="R25" s="19"/>
      <c r="S25" s="104"/>
      <c r="U25" s="1009"/>
    </row>
    <row r="26" spans="1:21" ht="30" customHeight="1" x14ac:dyDescent="0.25">
      <c r="A26" s="42"/>
      <c r="B26" s="1180" t="s">
        <v>56</v>
      </c>
      <c r="C26" s="1181"/>
      <c r="D26" s="175" t="e">
        <f>VLOOKUP($A$25,DATOS!$B$24:$M$26,3,FALSE)</f>
        <v>#N/A</v>
      </c>
      <c r="E26" s="175"/>
      <c r="F26" s="600" t="e">
        <f>VLOOKUP($H$25,DATOS!$B$14:$N$16,3,FALSE)</f>
        <v>#N/A</v>
      </c>
      <c r="G26" s="203"/>
      <c r="I26" s="143" t="s">
        <v>114</v>
      </c>
      <c r="J26" s="175">
        <v>3.7854109999999999</v>
      </c>
      <c r="K26" s="175">
        <f>(J26/J28)*1000</f>
        <v>3785.4110000000001</v>
      </c>
      <c r="L26" s="175">
        <f>(K26*K29)/K27</f>
        <v>231.00000854332629</v>
      </c>
      <c r="M26" s="203">
        <v>5</v>
      </c>
      <c r="N26" s="20"/>
      <c r="O26" s="204" t="e">
        <f>O29/K26</f>
        <v>#N/A</v>
      </c>
      <c r="P26" s="175" t="e">
        <f>P29/K26</f>
        <v>#N/A</v>
      </c>
      <c r="Q26" s="205" t="e">
        <f>P26-O26</f>
        <v>#N/A</v>
      </c>
      <c r="R26" s="206"/>
      <c r="S26" s="104"/>
    </row>
    <row r="27" spans="1:21" ht="30" customHeight="1" x14ac:dyDescent="0.25">
      <c r="A27" s="42"/>
      <c r="B27" s="1180" t="s">
        <v>30</v>
      </c>
      <c r="C27" s="1181"/>
      <c r="D27" s="175" t="e">
        <f>VLOOKUP($A$25,DATOS!$B$24:$M$26,4,FALSE)</f>
        <v>#N/A</v>
      </c>
      <c r="E27" s="175"/>
      <c r="F27" s="600" t="e">
        <f>VLOOKUP($H$25,DATOS!$B$14:$N$16,4,FALSE)</f>
        <v>#N/A</v>
      </c>
      <c r="G27" s="203"/>
      <c r="I27" s="143" t="s">
        <v>231</v>
      </c>
      <c r="J27" s="175">
        <v>1.6387059999999998E-2</v>
      </c>
      <c r="K27" s="175">
        <f>(J27/J28)*1000</f>
        <v>16.387059999999998</v>
      </c>
      <c r="L27" s="175">
        <v>1</v>
      </c>
      <c r="M27" s="207">
        <f>L26*M26</f>
        <v>1155.0000427166315</v>
      </c>
      <c r="O27" s="208" t="e">
        <f>O29/K27</f>
        <v>#N/A</v>
      </c>
      <c r="P27" s="175" t="e">
        <f>(P29*L27)/K27</f>
        <v>#N/A</v>
      </c>
      <c r="Q27" s="205" t="e">
        <f>P27-O27</f>
        <v>#N/A</v>
      </c>
      <c r="R27" s="19"/>
      <c r="S27" s="104"/>
    </row>
    <row r="28" spans="1:21" ht="30" customHeight="1" x14ac:dyDescent="0.25">
      <c r="A28" s="42"/>
      <c r="B28" s="1180" t="s">
        <v>117</v>
      </c>
      <c r="C28" s="1181"/>
      <c r="D28" s="175" t="e">
        <f>VLOOKUP($A$25,DATOS!$B$24:$M$26,5,FALSE)</f>
        <v>#N/A</v>
      </c>
      <c r="E28" s="175" t="s">
        <v>3</v>
      </c>
      <c r="F28" s="600" t="e">
        <f>VLOOKUP($H$25,DATOS!$B$14:$N$16,5,FALSE)</f>
        <v>#N/A</v>
      </c>
      <c r="G28" s="203" t="s">
        <v>3</v>
      </c>
      <c r="I28" s="143" t="s">
        <v>26</v>
      </c>
      <c r="J28" s="175">
        <v>1</v>
      </c>
      <c r="K28" s="175">
        <f>(J28/J28)*1000</f>
        <v>1000</v>
      </c>
      <c r="L28" s="175">
        <f>J27</f>
        <v>1.6387059999999998E-2</v>
      </c>
      <c r="M28" s="209">
        <f>J26*M26</f>
        <v>18.927054999999999</v>
      </c>
      <c r="O28" s="210" t="e">
        <f>O29/K28</f>
        <v>#N/A</v>
      </c>
      <c r="P28" s="175" t="e">
        <f>(P29*J28)/K28</f>
        <v>#N/A</v>
      </c>
      <c r="Q28" s="205" t="e">
        <f>P28-O28</f>
        <v>#N/A</v>
      </c>
      <c r="R28" s="19"/>
      <c r="S28" s="104"/>
    </row>
    <row r="29" spans="1:21" ht="30" customHeight="1" x14ac:dyDescent="0.25">
      <c r="A29" s="42"/>
      <c r="B29" s="1180" t="s">
        <v>63</v>
      </c>
      <c r="C29" s="1181"/>
      <c r="D29" s="175" t="e">
        <f>VLOOKUP($A$25,DATOS!$B$24:$M$26,6,FALSE)</f>
        <v>#N/A</v>
      </c>
      <c r="E29" s="175" t="s">
        <v>10</v>
      </c>
      <c r="F29" s="600" t="e">
        <f>VLOOKUP($H$25,DATOS!$B$14:$N$16,6,FALSE)</f>
        <v>#N/A</v>
      </c>
      <c r="G29" s="203" t="s">
        <v>10</v>
      </c>
      <c r="I29" s="143" t="s">
        <v>27</v>
      </c>
      <c r="J29" s="175">
        <v>1E-3</v>
      </c>
      <c r="K29" s="175">
        <f>(J29/J28)*1000</f>
        <v>1</v>
      </c>
      <c r="L29" s="175">
        <f>K27</f>
        <v>16.387059999999998</v>
      </c>
      <c r="M29" s="207">
        <f>K26*M26</f>
        <v>18927.055</v>
      </c>
      <c r="O29" s="208" t="e">
        <f>C7</f>
        <v>#N/A</v>
      </c>
      <c r="P29" s="211" t="e">
        <f>H59</f>
        <v>#N/A</v>
      </c>
      <c r="Q29" s="205" t="e">
        <f>P29-O29</f>
        <v>#N/A</v>
      </c>
      <c r="R29" s="19"/>
      <c r="S29" s="104"/>
    </row>
    <row r="30" spans="1:21" ht="30" customHeight="1" thickBot="1" x14ac:dyDescent="0.3">
      <c r="A30" s="42"/>
      <c r="B30" s="1180" t="s">
        <v>120</v>
      </c>
      <c r="C30" s="1181"/>
      <c r="D30" s="175" t="e">
        <f>VLOOKUP($A$25,DATOS!$B$24:$M$26,7,FALSE)</f>
        <v>#N/A</v>
      </c>
      <c r="E30" s="175" t="s">
        <v>4</v>
      </c>
      <c r="F30" s="600" t="e">
        <f>VLOOKUP($H$25,DATOS!$B$14:$N$16,7,FALSE)</f>
        <v>#N/A</v>
      </c>
      <c r="G30" s="203" t="s">
        <v>4</v>
      </c>
      <c r="I30" s="145" t="s">
        <v>232</v>
      </c>
      <c r="J30" s="194">
        <v>1E-3</v>
      </c>
      <c r="K30" s="194">
        <f>(J30/J28)*1000</f>
        <v>1</v>
      </c>
      <c r="L30" s="194">
        <f>(J27*K30)/J30</f>
        <v>16.387059999999998</v>
      </c>
      <c r="M30" s="212">
        <f>K26*M26</f>
        <v>18927.055</v>
      </c>
      <c r="O30" s="213" t="e">
        <f>O29</f>
        <v>#N/A</v>
      </c>
      <c r="P30" s="194" t="e">
        <f>P29</f>
        <v>#N/A</v>
      </c>
      <c r="Q30" s="214" t="e">
        <f>P30-O30</f>
        <v>#N/A</v>
      </c>
      <c r="R30" s="19"/>
      <c r="S30" s="104"/>
    </row>
    <row r="31" spans="1:21" ht="30" customHeight="1" x14ac:dyDescent="0.25">
      <c r="A31" s="42"/>
      <c r="B31" s="1180" t="s">
        <v>52</v>
      </c>
      <c r="C31" s="1181"/>
      <c r="D31" s="175" t="e">
        <f>VLOOKUP($A$25,DATOS!$B$24:$M$26,8,FALSE)</f>
        <v>#N/A</v>
      </c>
      <c r="E31" s="175" t="s">
        <v>4</v>
      </c>
      <c r="F31" s="600" t="e">
        <f>VLOOKUP($H$25,DATOS!$B$14:$N$16,8,FALSE)</f>
        <v>#N/A</v>
      </c>
      <c r="G31" s="203" t="s">
        <v>4</v>
      </c>
      <c r="Q31" s="19"/>
      <c r="R31" s="19"/>
      <c r="S31" s="104"/>
    </row>
    <row r="32" spans="1:21" ht="30" customHeight="1" x14ac:dyDescent="0.25">
      <c r="A32" s="42"/>
      <c r="B32" s="1180" t="s">
        <v>124</v>
      </c>
      <c r="C32" s="1181"/>
      <c r="D32" s="175" t="e">
        <f>VLOOKUP($A$25,DATOS!$B$24:$M$26,9,FALSE)</f>
        <v>#N/A</v>
      </c>
      <c r="E32" s="175" t="s">
        <v>235</v>
      </c>
      <c r="F32" s="600" t="e">
        <f>VLOOKUP($H$25,DATOS!$B$14:$N$16,9,FALSE)</f>
        <v>#N/A</v>
      </c>
      <c r="G32" s="203" t="s">
        <v>235</v>
      </c>
      <c r="I32" s="1249" t="s">
        <v>115</v>
      </c>
      <c r="J32" s="1249"/>
      <c r="K32" s="1248"/>
      <c r="L32" s="1248"/>
      <c r="N32" s="1249" t="s">
        <v>116</v>
      </c>
      <c r="O32" s="1249"/>
      <c r="P32" s="1248"/>
      <c r="Q32" s="1248"/>
      <c r="R32" s="19"/>
      <c r="S32" s="104"/>
    </row>
    <row r="33" spans="1:26" ht="30" customHeight="1" thickBot="1" x14ac:dyDescent="0.3">
      <c r="A33" s="42"/>
      <c r="B33" s="1180" t="s">
        <v>125</v>
      </c>
      <c r="C33" s="1181"/>
      <c r="D33" s="175" t="e">
        <f>VLOOKUP($A$25,DATOS!$B$24:$M$26,10,FALSE)</f>
        <v>#N/A</v>
      </c>
      <c r="E33" s="175" t="s">
        <v>14</v>
      </c>
      <c r="F33" s="600" t="e">
        <f>VLOOKUP($H$25,DATOS!$B$14:$N$16,10,FALSE)</f>
        <v>#N/A</v>
      </c>
      <c r="G33" s="203" t="s">
        <v>14</v>
      </c>
      <c r="Q33" s="18"/>
      <c r="R33" s="18"/>
      <c r="S33" s="104"/>
    </row>
    <row r="34" spans="1:26" ht="30" customHeight="1" thickBot="1" x14ac:dyDescent="0.3">
      <c r="A34" s="42"/>
      <c r="B34" s="1180" t="s">
        <v>126</v>
      </c>
      <c r="C34" s="1181"/>
      <c r="D34" s="175" t="e">
        <f>VLOOKUP($A$25,DATOS!$B$24:$M$26,11,FALSE)</f>
        <v>#N/A</v>
      </c>
      <c r="E34" s="175" t="s">
        <v>14</v>
      </c>
      <c r="F34" s="600" t="e">
        <f>VLOOKUP($H$25,DATOS!$B$14:$N$16,11,FALSE)</f>
        <v>#N/A</v>
      </c>
      <c r="G34" s="203" t="s">
        <v>14</v>
      </c>
      <c r="I34" s="1227" t="s">
        <v>118</v>
      </c>
      <c r="J34" s="1228"/>
      <c r="K34" s="1228"/>
      <c r="L34" s="1228"/>
      <c r="M34" s="1228"/>
      <c r="N34" s="1228"/>
      <c r="O34" s="1228"/>
      <c r="P34" s="1228"/>
      <c r="Q34" s="1228"/>
      <c r="R34" s="1229"/>
      <c r="S34" s="104"/>
    </row>
    <row r="35" spans="1:26" ht="30" customHeight="1" x14ac:dyDescent="0.25">
      <c r="A35" s="42"/>
      <c r="B35" s="1184" t="s">
        <v>250</v>
      </c>
      <c r="C35" s="1185"/>
      <c r="D35" s="1068" t="e">
        <f>VLOOKUP($A$25,DATOS!$B$24:$M$26,12,FALSE)</f>
        <v>#N/A</v>
      </c>
      <c r="E35" s="1068" t="s">
        <v>523</v>
      </c>
      <c r="F35" s="1068" t="e">
        <f>D35</f>
        <v>#N/A</v>
      </c>
      <c r="G35" s="203" t="s">
        <v>235</v>
      </c>
      <c r="I35" s="1193" t="s">
        <v>119</v>
      </c>
      <c r="J35" s="1194"/>
      <c r="K35" s="1194"/>
      <c r="L35" s="1194"/>
      <c r="M35" s="1195" t="s">
        <v>23</v>
      </c>
      <c r="N35" s="1195"/>
      <c r="O35" s="1195"/>
      <c r="P35" s="1195"/>
      <c r="Q35" s="215" t="s">
        <v>24</v>
      </c>
      <c r="R35" s="1069" t="s">
        <v>16</v>
      </c>
      <c r="S35" s="104"/>
    </row>
    <row r="36" spans="1:26" ht="30" customHeight="1" thickBot="1" x14ac:dyDescent="0.3">
      <c r="A36" s="42"/>
      <c r="B36" s="1182" t="s">
        <v>122</v>
      </c>
      <c r="C36" s="1183"/>
      <c r="D36" s="194">
        <f>K59</f>
        <v>-6.2676999999999996E-5</v>
      </c>
      <c r="E36" s="194" t="s">
        <v>235</v>
      </c>
      <c r="F36" s="194">
        <f>D36</f>
        <v>-6.2676999999999996E-5</v>
      </c>
      <c r="G36" s="217" t="s">
        <v>235</v>
      </c>
      <c r="I36" s="1253" t="s">
        <v>33</v>
      </c>
      <c r="J36" s="1178"/>
      <c r="K36" s="353"/>
      <c r="L36" s="218" t="s">
        <v>3</v>
      </c>
      <c r="M36" s="1178" t="s">
        <v>33</v>
      </c>
      <c r="N36" s="1178"/>
      <c r="O36" s="355"/>
      <c r="P36" s="218" t="s">
        <v>3</v>
      </c>
      <c r="Q36" s="219" t="e">
        <f>AVERAGE(K36,O36)</f>
        <v>#DIV/0!</v>
      </c>
      <c r="R36" s="1070" t="e">
        <f>Q36+G14</f>
        <v>#DIV/0!</v>
      </c>
      <c r="S36" s="104"/>
    </row>
    <row r="37" spans="1:26" ht="30" customHeight="1" thickBot="1" x14ac:dyDescent="0.3">
      <c r="A37" s="42"/>
      <c r="I37" s="1253" t="s">
        <v>44</v>
      </c>
      <c r="J37" s="1178"/>
      <c r="K37" s="353"/>
      <c r="L37" s="218" t="s">
        <v>121</v>
      </c>
      <c r="M37" s="1178" t="s">
        <v>44</v>
      </c>
      <c r="N37" s="1178"/>
      <c r="O37" s="355"/>
      <c r="P37" s="218" t="s">
        <v>121</v>
      </c>
      <c r="Q37" s="219" t="e">
        <f>AVERAGE(K37,O37)</f>
        <v>#DIV/0!</v>
      </c>
      <c r="R37" s="1070" t="e">
        <f>Q37+G15</f>
        <v>#DIV/0!</v>
      </c>
      <c r="S37" s="104"/>
    </row>
    <row r="38" spans="1:26" ht="30" customHeight="1" thickBot="1" x14ac:dyDescent="0.3">
      <c r="A38" s="42"/>
      <c r="B38" s="1250" t="s">
        <v>276</v>
      </c>
      <c r="C38" s="1251"/>
      <c r="D38" s="1186" t="e">
        <f>VLOOKUP(H38,DATOS!Q8:R12,2,FALSE)</f>
        <v>#N/A</v>
      </c>
      <c r="E38" s="1187"/>
      <c r="F38" s="1187"/>
      <c r="G38" s="1188"/>
      <c r="H38" s="370"/>
      <c r="I38" s="1257" t="s">
        <v>123</v>
      </c>
      <c r="J38" s="1179"/>
      <c r="K38" s="354"/>
      <c r="L38" s="220" t="s">
        <v>17</v>
      </c>
      <c r="M38" s="1179" t="s">
        <v>123</v>
      </c>
      <c r="N38" s="1179"/>
      <c r="O38" s="354"/>
      <c r="P38" s="220" t="s">
        <v>17</v>
      </c>
      <c r="Q38" s="221" t="e">
        <f>AVERAGE(K38,O38)</f>
        <v>#DIV/0!</v>
      </c>
      <c r="R38" s="1071" t="e">
        <f>Q38+G16</f>
        <v>#DIV/0!</v>
      </c>
      <c r="S38" s="104"/>
    </row>
    <row r="39" spans="1:26" s="15" customFormat="1" ht="30" customHeight="1" thickBot="1" x14ac:dyDescent="0.3">
      <c r="A39" s="222"/>
      <c r="B39" s="223"/>
      <c r="C39" s="223"/>
      <c r="D39" s="224"/>
      <c r="E39" s="224"/>
      <c r="F39" s="224"/>
      <c r="G39" s="224"/>
      <c r="H39" s="224"/>
      <c r="I39" s="225"/>
      <c r="J39" s="225"/>
      <c r="K39" s="223"/>
      <c r="L39" s="224"/>
      <c r="M39" s="225"/>
      <c r="N39" s="225"/>
      <c r="O39" s="223"/>
      <c r="P39" s="224"/>
      <c r="Q39" s="226"/>
      <c r="R39" s="226"/>
      <c r="S39" s="227"/>
    </row>
    <row r="40" spans="1:26" s="15" customFormat="1" ht="30" customHeight="1" thickBot="1" x14ac:dyDescent="0.3">
      <c r="A40" s="222"/>
      <c r="B40" s="19"/>
      <c r="C40" s="1258" t="s">
        <v>127</v>
      </c>
      <c r="D40" s="1259"/>
      <c r="E40" s="1259"/>
      <c r="F40" s="1259"/>
      <c r="G40" s="1259"/>
      <c r="H40" s="1259"/>
      <c r="I40" s="1259"/>
      <c r="J40" s="1259"/>
      <c r="K40" s="1259"/>
      <c r="L40" s="1259"/>
      <c r="M40" s="1259"/>
      <c r="N40" s="1260"/>
      <c r="O40" s="13"/>
      <c r="P40" s="1173" t="s">
        <v>376</v>
      </c>
      <c r="Q40" s="1174"/>
      <c r="R40" s="1174"/>
      <c r="S40" s="1175"/>
    </row>
    <row r="41" spans="1:26" s="15" customFormat="1" ht="30" customHeight="1" x14ac:dyDescent="0.25">
      <c r="A41" s="222"/>
      <c r="B41" s="19"/>
      <c r="C41" s="1261" t="s">
        <v>128</v>
      </c>
      <c r="D41" s="1262"/>
      <c r="E41" s="1262"/>
      <c r="F41" s="1262"/>
      <c r="G41" s="1263"/>
      <c r="H41" s="19"/>
      <c r="I41" s="1254" t="s">
        <v>129</v>
      </c>
      <c r="J41" s="1255"/>
      <c r="K41" s="1255"/>
      <c r="L41" s="1255"/>
      <c r="M41" s="1255"/>
      <c r="N41" s="1256"/>
      <c r="O41" s="13"/>
      <c r="P41" s="361"/>
      <c r="Q41" s="362"/>
      <c r="R41" s="362"/>
      <c r="S41" s="363"/>
    </row>
    <row r="42" spans="1:26" s="15" customFormat="1" ht="48" customHeight="1" x14ac:dyDescent="0.25">
      <c r="A42" s="222"/>
      <c r="B42" s="143" t="s">
        <v>130</v>
      </c>
      <c r="C42" s="696" t="s">
        <v>131</v>
      </c>
      <c r="D42" s="1072" t="s">
        <v>503</v>
      </c>
      <c r="E42" s="144" t="s">
        <v>132</v>
      </c>
      <c r="F42" s="144" t="s">
        <v>133</v>
      </c>
      <c r="G42" s="81" t="s">
        <v>134</v>
      </c>
      <c r="H42" s="19"/>
      <c r="I42" s="228" t="s">
        <v>131</v>
      </c>
      <c r="J42" s="1072" t="s">
        <v>503</v>
      </c>
      <c r="K42" s="228" t="s">
        <v>132</v>
      </c>
      <c r="L42" s="228" t="s">
        <v>133</v>
      </c>
      <c r="M42" s="228" t="s">
        <v>134</v>
      </c>
      <c r="N42" s="229" t="s">
        <v>135</v>
      </c>
      <c r="O42" s="13"/>
      <c r="P42" s="361"/>
      <c r="Q42" s="362"/>
      <c r="R42" s="362"/>
      <c r="S42" s="363"/>
    </row>
    <row r="43" spans="1:26" s="15" customFormat="1" ht="30" customHeight="1" x14ac:dyDescent="0.25">
      <c r="A43" s="222"/>
      <c r="B43" s="25">
        <v>1</v>
      </c>
      <c r="C43" s="356"/>
      <c r="D43" s="1073"/>
      <c r="E43" s="357"/>
      <c r="F43" s="358"/>
      <c r="G43" s="230">
        <f>(E43+F43)</f>
        <v>0</v>
      </c>
      <c r="H43" s="24"/>
      <c r="I43" s="356"/>
      <c r="J43" s="356"/>
      <c r="K43" s="357"/>
      <c r="L43" s="358"/>
      <c r="M43" s="231">
        <f>K43+L43</f>
        <v>0</v>
      </c>
      <c r="N43" s="359"/>
      <c r="O43" s="13"/>
      <c r="P43" s="361"/>
      <c r="Q43" s="362"/>
      <c r="R43" s="362"/>
      <c r="S43" s="363"/>
    </row>
    <row r="44" spans="1:26" s="15" customFormat="1" ht="30" customHeight="1" x14ac:dyDescent="0.25">
      <c r="A44" s="222"/>
      <c r="B44" s="25">
        <v>2</v>
      </c>
      <c r="C44" s="357"/>
      <c r="D44" s="1074"/>
      <c r="E44" s="357"/>
      <c r="F44" s="358"/>
      <c r="G44" s="230">
        <f t="shared" ref="G44:G47" si="4">(E44+F44)</f>
        <v>0</v>
      </c>
      <c r="H44" s="24"/>
      <c r="I44" s="357"/>
      <c r="J44" s="357"/>
      <c r="K44" s="357"/>
      <c r="L44" s="358"/>
      <c r="M44" s="231">
        <f t="shared" ref="M44:M47" si="5">K44+L44</f>
        <v>0</v>
      </c>
      <c r="N44" s="359"/>
      <c r="O44" s="13"/>
      <c r="P44" s="361"/>
      <c r="Q44" s="362"/>
      <c r="R44" s="362"/>
      <c r="S44" s="363"/>
    </row>
    <row r="45" spans="1:26" s="15" customFormat="1" ht="30" customHeight="1" x14ac:dyDescent="0.25">
      <c r="A45" s="222"/>
      <c r="B45" s="25">
        <v>3</v>
      </c>
      <c r="C45" s="357"/>
      <c r="D45" s="1074"/>
      <c r="E45" s="357"/>
      <c r="F45" s="358"/>
      <c r="G45" s="230">
        <f t="shared" si="4"/>
        <v>0</v>
      </c>
      <c r="H45" s="24"/>
      <c r="I45" s="357"/>
      <c r="J45" s="357"/>
      <c r="K45" s="357"/>
      <c r="L45" s="358"/>
      <c r="M45" s="231">
        <f t="shared" si="5"/>
        <v>0</v>
      </c>
      <c r="N45" s="359"/>
      <c r="O45" s="13"/>
      <c r="P45" s="361"/>
      <c r="Q45" s="362"/>
      <c r="R45" s="362"/>
      <c r="S45" s="363"/>
    </row>
    <row r="46" spans="1:26" s="15" customFormat="1" ht="30" customHeight="1" thickBot="1" x14ac:dyDescent="0.3">
      <c r="A46" s="222"/>
      <c r="B46" s="25">
        <v>4</v>
      </c>
      <c r="C46" s="357"/>
      <c r="D46" s="1074"/>
      <c r="E46" s="357"/>
      <c r="F46" s="358"/>
      <c r="G46" s="230">
        <f t="shared" si="4"/>
        <v>0</v>
      </c>
      <c r="H46" s="24"/>
      <c r="I46" s="357"/>
      <c r="J46" s="357"/>
      <c r="K46" s="357"/>
      <c r="L46" s="358"/>
      <c r="M46" s="231">
        <f t="shared" si="5"/>
        <v>0</v>
      </c>
      <c r="N46" s="359"/>
      <c r="O46" s="13"/>
      <c r="P46" s="361"/>
      <c r="Q46" s="362"/>
      <c r="R46" s="362"/>
      <c r="S46" s="363"/>
      <c r="Z46" s="11"/>
    </row>
    <row r="47" spans="1:26" s="15" customFormat="1" ht="30" customHeight="1" thickBot="1" x14ac:dyDescent="0.3">
      <c r="A47" s="232" t="s">
        <v>136</v>
      </c>
      <c r="B47" s="25">
        <v>5</v>
      </c>
      <c r="C47" s="357"/>
      <c r="D47" s="1074"/>
      <c r="E47" s="357"/>
      <c r="F47" s="358"/>
      <c r="G47" s="230">
        <f t="shared" si="4"/>
        <v>0</v>
      </c>
      <c r="H47" s="24"/>
      <c r="I47" s="594"/>
      <c r="J47" s="357"/>
      <c r="K47" s="357"/>
      <c r="L47" s="358"/>
      <c r="M47" s="231">
        <f t="shared" si="5"/>
        <v>0</v>
      </c>
      <c r="N47" s="360"/>
      <c r="O47" s="13"/>
      <c r="P47" s="361"/>
      <c r="Q47" s="362"/>
      <c r="R47" s="362"/>
      <c r="S47" s="363"/>
      <c r="Z47" s="11"/>
    </row>
    <row r="48" spans="1:26" s="15" customFormat="1" ht="30" customHeight="1" thickBot="1" x14ac:dyDescent="0.3">
      <c r="A48" s="222"/>
      <c r="B48" s="145"/>
      <c r="C48" s="1167" t="s">
        <v>502</v>
      </c>
      <c r="D48" s="1168"/>
      <c r="E48" s="1168"/>
      <c r="F48" s="1169"/>
      <c r="G48" s="1075" t="e">
        <f>AVERAGE(D43:D47)</f>
        <v>#DIV/0!</v>
      </c>
      <c r="H48" s="19"/>
      <c r="I48" s="233"/>
      <c r="J48" s="1170" t="s">
        <v>504</v>
      </c>
      <c r="K48" s="1171"/>
      <c r="L48" s="1172"/>
      <c r="M48" s="1076" t="e">
        <f>AVERAGE(J43:J47)</f>
        <v>#DIV/0!</v>
      </c>
      <c r="N48" s="19"/>
      <c r="O48" s="13"/>
      <c r="P48" s="364"/>
      <c r="Q48" s="365"/>
      <c r="R48" s="365"/>
      <c r="S48" s="366"/>
      <c r="Z48" s="11"/>
    </row>
    <row r="49" spans="1:26" s="15" customFormat="1" ht="30" customHeight="1" x14ac:dyDescent="0.25">
      <c r="A49" s="222"/>
      <c r="B49" s="13"/>
      <c r="C49" s="235"/>
      <c r="D49" s="236"/>
      <c r="E49" s="235"/>
      <c r="F49" s="235"/>
      <c r="G49" s="236"/>
      <c r="H49" s="13"/>
      <c r="I49" s="235"/>
      <c r="J49" s="236"/>
      <c r="K49" s="235"/>
      <c r="L49" s="235"/>
      <c r="M49" s="236"/>
      <c r="N49" s="13"/>
      <c r="O49" s="13"/>
      <c r="P49" s="13"/>
      <c r="Q49" s="13"/>
      <c r="R49" s="13"/>
      <c r="S49" s="227"/>
      <c r="Z49" s="11"/>
    </row>
    <row r="50" spans="1:26" ht="30" customHeight="1" x14ac:dyDescent="0.25">
      <c r="A50" s="42"/>
      <c r="Q50" s="19"/>
      <c r="R50" s="19"/>
      <c r="S50" s="104"/>
    </row>
    <row r="51" spans="1:26" ht="50.1" customHeight="1" thickBot="1" x14ac:dyDescent="0.3">
      <c r="A51" s="222"/>
      <c r="B51" s="1252"/>
      <c r="C51" s="1252"/>
      <c r="D51" s="1252"/>
      <c r="E51" s="1252"/>
      <c r="F51" s="1252"/>
      <c r="G51" s="1252"/>
      <c r="H51" s="1252"/>
      <c r="I51" s="1252"/>
      <c r="J51" s="1252"/>
      <c r="K51" s="1252"/>
      <c r="L51" s="1252"/>
      <c r="M51" s="13"/>
      <c r="N51" s="13"/>
      <c r="Q51" s="19"/>
      <c r="R51" s="19"/>
      <c r="S51" s="104"/>
    </row>
    <row r="52" spans="1:26" ht="30" customHeight="1" thickBot="1" x14ac:dyDescent="0.3">
      <c r="A52" s="222"/>
      <c r="B52" s="18"/>
      <c r="C52" s="18"/>
      <c r="D52" s="18"/>
      <c r="E52" s="1227" t="s">
        <v>137</v>
      </c>
      <c r="F52" s="1228"/>
      <c r="G52" s="1228"/>
      <c r="H52" s="1228"/>
      <c r="I52" s="1228"/>
      <c r="J52" s="1228"/>
      <c r="K52" s="1228"/>
      <c r="L52" s="1229"/>
      <c r="M52" s="237"/>
      <c r="N52" s="237"/>
      <c r="Q52" s="19"/>
      <c r="R52" s="19"/>
      <c r="S52" s="104"/>
    </row>
    <row r="53" spans="1:26" ht="30" customHeight="1" thickBot="1" x14ac:dyDescent="0.3">
      <c r="A53" s="42"/>
      <c r="B53" s="18"/>
      <c r="C53" s="18"/>
      <c r="D53" s="18"/>
      <c r="E53" s="1267" t="s">
        <v>130</v>
      </c>
      <c r="F53" s="1268"/>
      <c r="G53" s="238" t="s">
        <v>233</v>
      </c>
      <c r="H53" s="239" t="s">
        <v>234</v>
      </c>
      <c r="J53" s="240"/>
      <c r="K53" s="241"/>
      <c r="L53" s="242"/>
      <c r="N53" s="243"/>
      <c r="O53" s="1264" t="s">
        <v>138</v>
      </c>
      <c r="P53" s="244"/>
      <c r="Q53" s="245" t="e">
        <f>IF(Q29&gt;=(N55)," AJUSTAR","NO AJUSTAR")</f>
        <v>#N/A</v>
      </c>
      <c r="R53" s="246"/>
      <c r="S53" s="104"/>
    </row>
    <row r="54" spans="1:26" ht="30" customHeight="1" thickBot="1" x14ac:dyDescent="0.3">
      <c r="A54" s="42"/>
      <c r="B54" s="18"/>
      <c r="C54" s="18"/>
      <c r="D54" s="18"/>
      <c r="E54" s="1269">
        <v>1</v>
      </c>
      <c r="F54" s="1247"/>
      <c r="G54" s="211" t="e">
        <f>$C$7*((1-$D$32*($D$28-D43))+($K$54)*(J43-D43)+$F$32*($F$28-J43))</f>
        <v>#N/A</v>
      </c>
      <c r="H54" s="207" t="e">
        <f>G54+N43</f>
        <v>#N/A</v>
      </c>
      <c r="J54" s="143">
        <v>1</v>
      </c>
      <c r="K54" s="247">
        <f>(-0.1176*((D43+J43)/2)^2+(15.846*(D43+J43)/2)-62.677)*10^-6</f>
        <v>-6.2676999999999996E-5</v>
      </c>
      <c r="L54" s="248" t="s">
        <v>235</v>
      </c>
      <c r="N54" s="249" t="s">
        <v>4</v>
      </c>
      <c r="O54" s="1265"/>
      <c r="P54" s="250"/>
      <c r="Q54" s="251" t="e">
        <f>Q29</f>
        <v>#N/A</v>
      </c>
      <c r="R54" s="252"/>
      <c r="S54" s="104"/>
    </row>
    <row r="55" spans="1:26" ht="30" customHeight="1" thickBot="1" x14ac:dyDescent="0.3">
      <c r="A55" s="42"/>
      <c r="B55" s="18"/>
      <c r="C55" s="18"/>
      <c r="D55" s="18"/>
      <c r="E55" s="1269">
        <v>2</v>
      </c>
      <c r="F55" s="1247"/>
      <c r="G55" s="211" t="e">
        <f>$C$7*((1-$D$32*($D$28-D44))+($K$55)*(J44-D44)+$F$32*($F$28-J44))</f>
        <v>#N/A</v>
      </c>
      <c r="H55" s="207" t="e">
        <f>G55+N44</f>
        <v>#N/A</v>
      </c>
      <c r="J55" s="143">
        <v>2</v>
      </c>
      <c r="K55" s="247">
        <f>(-0.1176*((D44+J44)/2)^2+(15.846*(D44+J44)/2)-62.677)*10^-6</f>
        <v>-6.2676999999999996E-5</v>
      </c>
      <c r="L55" s="248" t="s">
        <v>235</v>
      </c>
      <c r="N55" s="253">
        <v>8.1940000000000008</v>
      </c>
      <c r="O55" s="1266"/>
      <c r="P55" s="254"/>
      <c r="Q55" s="254"/>
      <c r="R55" s="255"/>
      <c r="S55" s="104"/>
    </row>
    <row r="56" spans="1:26" ht="30" customHeight="1" thickBot="1" x14ac:dyDescent="0.3">
      <c r="A56" s="42"/>
      <c r="B56" s="18"/>
      <c r="C56" s="18"/>
      <c r="D56" s="18"/>
      <c r="E56" s="1269">
        <v>3</v>
      </c>
      <c r="F56" s="1247"/>
      <c r="G56" s="211" t="e">
        <f>$C$7*((1-$D$32*($D$28-D45))+($K$56)*(J45-D45)+$F$32*($F$28-J45))</f>
        <v>#N/A</v>
      </c>
      <c r="H56" s="207" t="e">
        <f>G56+N45</f>
        <v>#N/A</v>
      </c>
      <c r="J56" s="143">
        <v>3</v>
      </c>
      <c r="K56" s="247">
        <f>(-0.1176*((D45+J45)/2)^2+(15.846*(D45+J45)/2)-62.677)*10^-6</f>
        <v>-6.2676999999999996E-5</v>
      </c>
      <c r="L56" s="248" t="s">
        <v>235</v>
      </c>
      <c r="N56" s="256"/>
      <c r="O56" s="1265" t="s">
        <v>377</v>
      </c>
      <c r="P56" s="250"/>
      <c r="Q56" s="257" t="e">
        <f>IF(Q27&gt;=(N58)," AJUSTAR","NO AJUSTAR")</f>
        <v>#N/A</v>
      </c>
      <c r="R56" s="252"/>
      <c r="S56" s="104"/>
    </row>
    <row r="57" spans="1:26" ht="30" customHeight="1" thickBot="1" x14ac:dyDescent="0.3">
      <c r="A57" s="42"/>
      <c r="B57" s="18"/>
      <c r="C57" s="18"/>
      <c r="D57" s="18"/>
      <c r="E57" s="1269">
        <v>4</v>
      </c>
      <c r="F57" s="1247"/>
      <c r="G57" s="211" t="e">
        <f>$C$7*((1-$D$32*($D$28-D46))+($K$57)*(J46-D46)+$F$32*($F$28-J46))</f>
        <v>#N/A</v>
      </c>
      <c r="H57" s="207" t="e">
        <f>G57+N46</f>
        <v>#N/A</v>
      </c>
      <c r="J57" s="143">
        <v>4</v>
      </c>
      <c r="K57" s="247">
        <f>(-0.1176*((D46+J46)/2)^2+(15.846*(D46+J46)/2)-62.677)*10^-6</f>
        <v>-6.2676999999999996E-5</v>
      </c>
      <c r="L57" s="248" t="s">
        <v>235</v>
      </c>
      <c r="N57" s="249" t="s">
        <v>380</v>
      </c>
      <c r="O57" s="1265"/>
      <c r="P57" s="250"/>
      <c r="Q57" s="669" t="e">
        <f>Q27</f>
        <v>#N/A</v>
      </c>
      <c r="R57" s="252"/>
      <c r="S57" s="104"/>
    </row>
    <row r="58" spans="1:26" ht="30" customHeight="1" thickBot="1" x14ac:dyDescent="0.3">
      <c r="A58" s="42"/>
      <c r="B58" s="18"/>
      <c r="C58" s="18"/>
      <c r="D58" s="18"/>
      <c r="E58" s="1269">
        <v>5</v>
      </c>
      <c r="F58" s="1247"/>
      <c r="G58" s="211" t="e">
        <f>$C$7*((1-$D$32*($D$28-D47))+($K$58)*(J47-D47)+$F$32*($F$28-J47))</f>
        <v>#N/A</v>
      </c>
      <c r="H58" s="207" t="e">
        <f>G58+N47</f>
        <v>#N/A</v>
      </c>
      <c r="J58" s="143">
        <v>5</v>
      </c>
      <c r="K58" s="247">
        <f>(-0.1176*((D47+J47)/2)^2+(15.846*(D47+J47)/2)-62.677)*10^-6</f>
        <v>-6.2676999999999996E-5</v>
      </c>
      <c r="L58" s="248" t="s">
        <v>235</v>
      </c>
      <c r="N58" s="253">
        <v>0.5</v>
      </c>
      <c r="O58" s="1266"/>
      <c r="P58" s="254"/>
      <c r="Q58" s="254"/>
      <c r="R58" s="255"/>
      <c r="S58" s="104"/>
    </row>
    <row r="59" spans="1:26" ht="30" customHeight="1" thickBot="1" x14ac:dyDescent="0.3">
      <c r="A59" s="42"/>
      <c r="B59" s="18"/>
      <c r="C59" s="18"/>
      <c r="D59" s="18"/>
      <c r="E59" s="1241" t="s">
        <v>237</v>
      </c>
      <c r="F59" s="1242"/>
      <c r="G59" s="1243"/>
      <c r="H59" s="670" t="e">
        <f>AVERAGE(H54:H58)</f>
        <v>#N/A</v>
      </c>
      <c r="I59" s="18"/>
      <c r="J59" s="258" t="s">
        <v>2</v>
      </c>
      <c r="K59" s="259">
        <f>AVERAGE(K54:K58)</f>
        <v>-6.2676999999999996E-5</v>
      </c>
      <c r="L59" s="260" t="s">
        <v>235</v>
      </c>
      <c r="O59" s="18"/>
      <c r="P59" s="18"/>
      <c r="Q59" s="18"/>
      <c r="R59" s="19"/>
      <c r="S59" s="104"/>
    </row>
    <row r="60" spans="1:26" ht="30" customHeight="1" x14ac:dyDescent="0.25">
      <c r="A60" s="42"/>
      <c r="B60" s="18"/>
      <c r="C60" s="18"/>
      <c r="D60" s="18"/>
      <c r="E60" s="1241" t="s">
        <v>238</v>
      </c>
      <c r="F60" s="1242"/>
      <c r="G60" s="1243"/>
      <c r="H60" s="261" t="e">
        <f>_xlfn.STDEV.S(H54:H58)</f>
        <v>#N/A</v>
      </c>
      <c r="J60" s="262"/>
      <c r="L60" s="38"/>
      <c r="M60" s="263"/>
      <c r="N60" s="39"/>
      <c r="O60" s="18"/>
      <c r="P60" s="18"/>
      <c r="Q60" s="18"/>
      <c r="R60" s="19"/>
      <c r="S60" s="104"/>
    </row>
    <row r="61" spans="1:26" ht="30" customHeight="1" thickBot="1" x14ac:dyDescent="0.3">
      <c r="A61" s="42"/>
      <c r="B61" s="18"/>
      <c r="C61" s="18"/>
      <c r="D61" s="18"/>
      <c r="E61" s="1244" t="s">
        <v>139</v>
      </c>
      <c r="F61" s="1245"/>
      <c r="G61" s="1246"/>
      <c r="H61" s="264" t="e">
        <f>H60/SQRT(5)</f>
        <v>#N/A</v>
      </c>
      <c r="J61" s="265"/>
      <c r="K61" s="39"/>
      <c r="Q61" s="19"/>
      <c r="R61" s="19"/>
      <c r="S61" s="104"/>
    </row>
    <row r="62" spans="1:26" s="19" customFormat="1" ht="30" customHeight="1" thickBot="1" x14ac:dyDescent="0.3">
      <c r="A62" s="266"/>
      <c r="J62" s="17"/>
      <c r="K62" s="17"/>
      <c r="L62" s="41"/>
      <c r="M62" s="41"/>
      <c r="N62" s="41"/>
      <c r="O62" s="41"/>
      <c r="S62" s="105"/>
    </row>
    <row r="63" spans="1:26" ht="30" customHeight="1" thickBot="1" x14ac:dyDescent="0.3">
      <c r="A63" s="103"/>
      <c r="B63" s="1227" t="s">
        <v>140</v>
      </c>
      <c r="C63" s="1228"/>
      <c r="D63" s="1228"/>
      <c r="E63" s="1228"/>
      <c r="F63" s="1228"/>
      <c r="G63" s="1228"/>
      <c r="H63" s="1228"/>
      <c r="I63" s="1228"/>
      <c r="J63" s="1228"/>
      <c r="K63" s="1228"/>
      <c r="L63" s="1229"/>
      <c r="Q63" s="19"/>
      <c r="R63" s="19"/>
      <c r="S63" s="104"/>
    </row>
    <row r="64" spans="1:26" ht="30" customHeight="1" x14ac:dyDescent="0.25">
      <c r="A64" s="42"/>
      <c r="B64" s="267"/>
      <c r="C64" s="38"/>
      <c r="D64" s="38"/>
      <c r="E64" s="38"/>
      <c r="F64" s="38"/>
      <c r="G64" s="38"/>
      <c r="H64" s="38"/>
      <c r="I64" s="38"/>
      <c r="J64" s="38"/>
      <c r="K64" s="268" t="s">
        <v>141</v>
      </c>
      <c r="L64" s="269" t="s">
        <v>98</v>
      </c>
      <c r="N64" s="1247" t="s">
        <v>98</v>
      </c>
      <c r="O64" s="1247" t="s">
        <v>1</v>
      </c>
      <c r="P64" s="1247" t="s">
        <v>0</v>
      </c>
      <c r="Q64" s="57"/>
      <c r="R64" s="57"/>
      <c r="S64" s="104"/>
    </row>
    <row r="65" spans="1:19" ht="30" customHeight="1" x14ac:dyDescent="0.25">
      <c r="A65" s="42"/>
      <c r="B65" s="1270" t="s">
        <v>279</v>
      </c>
      <c r="C65" s="1271"/>
      <c r="D65" s="1271"/>
      <c r="E65" s="270"/>
      <c r="F65" s="270"/>
      <c r="G65" s="271"/>
      <c r="H65" s="271"/>
      <c r="I65" s="271"/>
      <c r="J65" s="272"/>
      <c r="K65" s="273" t="e">
        <f>(1-$O$75*(O73-O69))+(O79)*(P71-O69)+P77*(P81-P71)</f>
        <v>#N/A</v>
      </c>
      <c r="L65" s="1077" t="s">
        <v>518</v>
      </c>
      <c r="N65" s="1247"/>
      <c r="O65" s="1247"/>
      <c r="P65" s="1247"/>
      <c r="Q65" s="57"/>
      <c r="R65" s="57"/>
      <c r="S65" s="104"/>
    </row>
    <row r="66" spans="1:19" s="19" customFormat="1" ht="5.0999999999999996" customHeight="1" x14ac:dyDescent="0.25">
      <c r="A66" s="42"/>
      <c r="B66" s="274"/>
      <c r="C66" s="275"/>
      <c r="D66" s="275"/>
      <c r="E66" s="275"/>
      <c r="F66" s="275"/>
      <c r="G66" s="263"/>
      <c r="H66" s="263"/>
      <c r="I66" s="263"/>
      <c r="J66" s="263"/>
      <c r="K66" s="276"/>
      <c r="L66" s="1078"/>
      <c r="N66" s="44"/>
      <c r="O66" s="44"/>
      <c r="P66" s="44"/>
      <c r="Q66" s="57"/>
      <c r="R66" s="57"/>
      <c r="S66" s="105"/>
    </row>
    <row r="67" spans="1:19" ht="30" customHeight="1" x14ac:dyDescent="0.25">
      <c r="A67" s="42"/>
      <c r="B67" s="1270" t="s">
        <v>280</v>
      </c>
      <c r="C67" s="1271"/>
      <c r="D67" s="1271"/>
      <c r="E67" s="1271"/>
      <c r="F67" s="270"/>
      <c r="G67" s="271"/>
      <c r="H67" s="271"/>
      <c r="I67" s="271"/>
      <c r="J67" s="272"/>
      <c r="K67" s="273" t="e">
        <f>$O$67*(O75-O79)</f>
        <v>#N/A</v>
      </c>
      <c r="L67" s="1077" t="s">
        <v>524</v>
      </c>
      <c r="N67" s="277"/>
      <c r="O67" s="21" t="e">
        <f>$C$7</f>
        <v>#N/A</v>
      </c>
      <c r="P67" s="49"/>
      <c r="Q67" s="57"/>
      <c r="R67" s="57"/>
      <c r="S67" s="104"/>
    </row>
    <row r="68" spans="1:19" s="16" customFormat="1" ht="5.0999999999999996" customHeight="1" x14ac:dyDescent="0.25">
      <c r="A68" s="42"/>
      <c r="B68" s="274"/>
      <c r="C68" s="275"/>
      <c r="D68" s="275"/>
      <c r="E68" s="275"/>
      <c r="F68" s="275"/>
      <c r="G68" s="263"/>
      <c r="H68" s="263"/>
      <c r="I68" s="263"/>
      <c r="J68" s="263"/>
      <c r="K68" s="276"/>
      <c r="L68" s="1079"/>
      <c r="M68" s="19"/>
      <c r="N68" s="44"/>
      <c r="O68" s="44"/>
      <c r="P68" s="44"/>
      <c r="Q68" s="57"/>
      <c r="R68" s="57"/>
      <c r="S68" s="105"/>
    </row>
    <row r="69" spans="1:19" ht="30" customHeight="1" x14ac:dyDescent="0.25">
      <c r="A69" s="42"/>
      <c r="B69" s="1270" t="s">
        <v>281</v>
      </c>
      <c r="C69" s="1271"/>
      <c r="D69" s="1271"/>
      <c r="E69" s="1271"/>
      <c r="F69" s="270"/>
      <c r="G69" s="271"/>
      <c r="H69" s="271"/>
      <c r="I69" s="271"/>
      <c r="J69" s="272"/>
      <c r="K69" s="273" t="e">
        <f>$O$67*(O79-P77)</f>
        <v>#N/A</v>
      </c>
      <c r="L69" s="1077" t="s">
        <v>524</v>
      </c>
      <c r="N69" s="277"/>
      <c r="O69" s="48" t="e">
        <f>$G$48</f>
        <v>#DIV/0!</v>
      </c>
      <c r="P69" s="49"/>
      <c r="Q69" s="57"/>
      <c r="R69" s="57"/>
      <c r="S69" s="104"/>
    </row>
    <row r="70" spans="1:19" s="16" customFormat="1" ht="5.0999999999999996" customHeight="1" x14ac:dyDescent="0.25">
      <c r="A70" s="42"/>
      <c r="B70" s="274"/>
      <c r="C70" s="275"/>
      <c r="D70" s="275"/>
      <c r="E70" s="275"/>
      <c r="F70" s="275"/>
      <c r="G70" s="263"/>
      <c r="H70" s="263"/>
      <c r="I70" s="263"/>
      <c r="J70" s="263"/>
      <c r="K70" s="276"/>
      <c r="L70" s="1079"/>
      <c r="M70" s="19"/>
      <c r="N70" s="44"/>
      <c r="O70" s="44"/>
      <c r="P70" s="44"/>
      <c r="Q70" s="57"/>
      <c r="R70" s="57"/>
      <c r="S70" s="105"/>
    </row>
    <row r="71" spans="1:19" ht="30" customHeight="1" x14ac:dyDescent="0.25">
      <c r="A71" s="42"/>
      <c r="B71" s="1270" t="s">
        <v>278</v>
      </c>
      <c r="C71" s="1271"/>
      <c r="D71" s="1271"/>
      <c r="E71" s="1271"/>
      <c r="F71" s="1271"/>
      <c r="G71" s="271"/>
      <c r="H71" s="271"/>
      <c r="I71" s="271"/>
      <c r="J71" s="272"/>
      <c r="K71" s="273" t="e">
        <f>-O$67*(O73-O69)</f>
        <v>#N/A</v>
      </c>
      <c r="L71" s="1077" t="s">
        <v>520</v>
      </c>
      <c r="N71" s="277"/>
      <c r="O71" s="49"/>
      <c r="P71" s="48" t="e">
        <f>$M$48</f>
        <v>#DIV/0!</v>
      </c>
      <c r="Q71" s="57"/>
      <c r="R71" s="57"/>
      <c r="S71" s="104"/>
    </row>
    <row r="72" spans="1:19" s="16" customFormat="1" ht="5.0999999999999996" customHeight="1" x14ac:dyDescent="0.25">
      <c r="A72" s="42"/>
      <c r="B72" s="274"/>
      <c r="C72" s="275"/>
      <c r="D72" s="275"/>
      <c r="E72" s="275"/>
      <c r="F72" s="275"/>
      <c r="G72" s="263"/>
      <c r="H72" s="263"/>
      <c r="I72" s="263"/>
      <c r="J72" s="263"/>
      <c r="K72" s="276"/>
      <c r="L72" s="1079"/>
      <c r="M72" s="19"/>
      <c r="N72" s="44"/>
      <c r="O72" s="44"/>
      <c r="P72" s="44"/>
      <c r="Q72" s="57"/>
      <c r="R72" s="57"/>
      <c r="S72" s="105"/>
    </row>
    <row r="73" spans="1:19" ht="30" customHeight="1" x14ac:dyDescent="0.25">
      <c r="A73" s="42"/>
      <c r="B73" s="1270" t="s">
        <v>277</v>
      </c>
      <c r="C73" s="1271"/>
      <c r="D73" s="1271"/>
      <c r="E73" s="1271"/>
      <c r="F73" s="1271"/>
      <c r="G73" s="279"/>
      <c r="H73" s="279"/>
      <c r="I73" s="279"/>
      <c r="J73" s="272"/>
      <c r="K73" s="273" t="e">
        <f>$O$67*(P81-P71)</f>
        <v>#N/A</v>
      </c>
      <c r="L73" s="1077" t="s">
        <v>520</v>
      </c>
      <c r="N73" s="280"/>
      <c r="O73" s="21" t="e">
        <f>$D$28</f>
        <v>#N/A</v>
      </c>
      <c r="P73" s="49"/>
      <c r="Q73" s="57"/>
      <c r="R73" s="57"/>
      <c r="S73" s="104"/>
    </row>
    <row r="74" spans="1:19" s="16" customFormat="1" ht="5.0999999999999996" customHeight="1" x14ac:dyDescent="0.25">
      <c r="A74" s="42"/>
      <c r="B74" s="274"/>
      <c r="C74" s="275"/>
      <c r="D74" s="275"/>
      <c r="E74" s="275"/>
      <c r="F74" s="275"/>
      <c r="G74" s="263"/>
      <c r="H74" s="263"/>
      <c r="I74" s="263"/>
      <c r="J74" s="263"/>
      <c r="K74" s="276"/>
      <c r="L74" s="1079"/>
      <c r="M74" s="19"/>
      <c r="N74" s="44"/>
      <c r="O74" s="44"/>
      <c r="P74" s="44"/>
      <c r="Q74" s="57"/>
      <c r="R74" s="57"/>
      <c r="S74" s="105"/>
    </row>
    <row r="75" spans="1:19" ht="30" customHeight="1" x14ac:dyDescent="0.25">
      <c r="A75" s="42"/>
      <c r="B75" s="1270" t="s">
        <v>142</v>
      </c>
      <c r="C75" s="1271"/>
      <c r="D75" s="1271"/>
      <c r="E75" s="1271"/>
      <c r="F75" s="1271"/>
      <c r="G75" s="271"/>
      <c r="H75" s="271"/>
      <c r="I75" s="271"/>
      <c r="J75" s="272"/>
      <c r="K75" s="273" t="e">
        <f>$O$67*(P71-O69)</f>
        <v>#N/A</v>
      </c>
      <c r="L75" s="1077" t="s">
        <v>520</v>
      </c>
      <c r="N75" s="277"/>
      <c r="O75" s="82" t="e">
        <f>$D$32</f>
        <v>#N/A</v>
      </c>
      <c r="P75" s="49"/>
      <c r="Q75" s="57"/>
      <c r="R75" s="57"/>
      <c r="S75" s="104"/>
    </row>
    <row r="76" spans="1:19" s="16" customFormat="1" ht="5.0999999999999996" customHeight="1" x14ac:dyDescent="0.25">
      <c r="A76" s="42"/>
      <c r="B76" s="274"/>
      <c r="C76" s="275"/>
      <c r="D76" s="275"/>
      <c r="E76" s="275"/>
      <c r="F76" s="275"/>
      <c r="G76" s="263"/>
      <c r="H76" s="263"/>
      <c r="I76" s="263"/>
      <c r="J76" s="263"/>
      <c r="K76" s="281"/>
      <c r="L76" s="278"/>
      <c r="M76" s="19"/>
      <c r="N76" s="44"/>
      <c r="O76" s="44"/>
      <c r="P76" s="44"/>
      <c r="Q76" s="57"/>
      <c r="R76" s="57"/>
      <c r="S76" s="105"/>
    </row>
    <row r="77" spans="1:19" ht="30" customHeight="1" x14ac:dyDescent="0.25">
      <c r="A77" s="42"/>
      <c r="B77" s="1270" t="s">
        <v>143</v>
      </c>
      <c r="C77" s="1271"/>
      <c r="D77" s="1271"/>
      <c r="E77" s="282"/>
      <c r="F77" s="282"/>
      <c r="G77" s="279"/>
      <c r="H77" s="279"/>
      <c r="I77" s="279"/>
      <c r="J77" s="272"/>
      <c r="K77" s="283">
        <v>1</v>
      </c>
      <c r="L77" s="1077" t="s">
        <v>518</v>
      </c>
      <c r="M77" s="41"/>
      <c r="N77" s="277"/>
      <c r="O77" s="49"/>
      <c r="P77" s="82" t="e">
        <f>$F$32</f>
        <v>#N/A</v>
      </c>
      <c r="Q77" s="57"/>
      <c r="R77" s="57"/>
      <c r="S77" s="104"/>
    </row>
    <row r="78" spans="1:19" s="16" customFormat="1" ht="5.0999999999999996" customHeight="1" x14ac:dyDescent="0.25">
      <c r="A78" s="42"/>
      <c r="B78" s="274"/>
      <c r="C78" s="275"/>
      <c r="D78" s="275"/>
      <c r="E78" s="275"/>
      <c r="F78" s="275"/>
      <c r="G78" s="263"/>
      <c r="H78" s="263"/>
      <c r="I78" s="263"/>
      <c r="J78" s="263"/>
      <c r="K78" s="284"/>
      <c r="L78" s="1080"/>
      <c r="M78" s="41"/>
      <c r="N78" s="285"/>
      <c r="O78" s="44"/>
      <c r="P78" s="44"/>
      <c r="Q78" s="57"/>
      <c r="R78" s="57"/>
      <c r="S78" s="105"/>
    </row>
    <row r="79" spans="1:19" ht="30" customHeight="1" x14ac:dyDescent="0.25">
      <c r="A79" s="222"/>
      <c r="B79" s="1270" t="s">
        <v>144</v>
      </c>
      <c r="C79" s="1271"/>
      <c r="D79" s="1271"/>
      <c r="E79" s="282"/>
      <c r="F79" s="282"/>
      <c r="G79" s="279"/>
      <c r="H79" s="279"/>
      <c r="I79" s="279"/>
      <c r="J79" s="272"/>
      <c r="K79" s="283">
        <v>1</v>
      </c>
      <c r="L79" s="1077" t="s">
        <v>518</v>
      </c>
      <c r="M79" s="41"/>
      <c r="N79" s="277"/>
      <c r="O79" s="33">
        <f>$D$36</f>
        <v>-6.2676999999999996E-5</v>
      </c>
      <c r="P79" s="286">
        <f>$F$36</f>
        <v>-6.2676999999999996E-5</v>
      </c>
      <c r="Q79" s="57"/>
      <c r="R79" s="57"/>
      <c r="S79" s="104"/>
    </row>
    <row r="80" spans="1:19" s="16" customFormat="1" ht="5.0999999999999996" customHeight="1" x14ac:dyDescent="0.25">
      <c r="A80" s="42"/>
      <c r="B80" s="274"/>
      <c r="C80" s="275"/>
      <c r="D80" s="275"/>
      <c r="E80" s="275"/>
      <c r="F80" s="275"/>
      <c r="G80" s="263"/>
      <c r="H80" s="263"/>
      <c r="I80" s="263"/>
      <c r="J80" s="263"/>
      <c r="K80" s="284"/>
      <c r="L80" s="1080"/>
      <c r="M80" s="41"/>
      <c r="N80" s="285"/>
      <c r="O80" s="673"/>
      <c r="P80" s="44"/>
      <c r="Q80" s="57"/>
      <c r="R80" s="57"/>
      <c r="S80" s="105"/>
    </row>
    <row r="81" spans="1:19" s="16" customFormat="1" ht="30" customHeight="1" x14ac:dyDescent="0.25">
      <c r="A81" s="42"/>
      <c r="B81" s="1270" t="s">
        <v>145</v>
      </c>
      <c r="C81" s="1271"/>
      <c r="D81" s="1271"/>
      <c r="E81" s="270"/>
      <c r="F81" s="270"/>
      <c r="G81" s="271"/>
      <c r="H81" s="271"/>
      <c r="I81" s="271"/>
      <c r="J81" s="272"/>
      <c r="K81" s="283">
        <v>1</v>
      </c>
      <c r="L81" s="1077" t="s">
        <v>518</v>
      </c>
      <c r="M81" s="41"/>
      <c r="N81" s="672"/>
      <c r="O81" s="49"/>
      <c r="P81" s="674" t="e">
        <f>F28</f>
        <v>#N/A</v>
      </c>
      <c r="Q81" s="57"/>
      <c r="R81" s="57"/>
      <c r="S81" s="105"/>
    </row>
    <row r="82" spans="1:19" s="16" customFormat="1" ht="5.0999999999999996" customHeight="1" x14ac:dyDescent="0.25">
      <c r="A82" s="42"/>
      <c r="B82" s="274"/>
      <c r="C82" s="275"/>
      <c r="D82" s="275"/>
      <c r="E82" s="275"/>
      <c r="F82" s="275"/>
      <c r="G82" s="263"/>
      <c r="H82" s="263"/>
      <c r="I82" s="263"/>
      <c r="J82" s="39"/>
      <c r="K82" s="287"/>
      <c r="L82" s="288"/>
      <c r="M82" s="41"/>
      <c r="N82" s="41"/>
      <c r="O82" s="57"/>
      <c r="P82" s="19"/>
      <c r="Q82" s="19"/>
      <c r="R82" s="19"/>
      <c r="S82" s="105"/>
    </row>
    <row r="83" spans="1:19" ht="38.25" customHeight="1" thickBot="1" x14ac:dyDescent="0.3">
      <c r="A83" s="42"/>
      <c r="B83" s="1272" t="s">
        <v>282</v>
      </c>
      <c r="C83" s="1273"/>
      <c r="D83" s="1273"/>
      <c r="E83" s="1273"/>
      <c r="F83" s="1273"/>
      <c r="G83" s="289"/>
      <c r="H83" s="289"/>
      <c r="I83" s="289"/>
      <c r="J83" s="290"/>
      <c r="K83" s="291" t="e">
        <f>D35</f>
        <v>#N/A</v>
      </c>
      <c r="L83" s="292" t="s">
        <v>517</v>
      </c>
      <c r="M83" s="41"/>
      <c r="Q83" s="12"/>
      <c r="R83" s="19"/>
      <c r="S83" s="104"/>
    </row>
    <row r="84" spans="1:19" s="16" customFormat="1" ht="30" customHeight="1" thickBot="1" x14ac:dyDescent="0.3">
      <c r="A84" s="42"/>
      <c r="B84" s="19"/>
      <c r="C84" s="19"/>
      <c r="D84" s="19"/>
      <c r="E84" s="19"/>
      <c r="F84" s="19"/>
      <c r="G84" s="19"/>
      <c r="H84" s="19"/>
      <c r="I84" s="19"/>
      <c r="J84" s="19"/>
      <c r="K84" s="19"/>
      <c r="L84" s="19"/>
      <c r="M84" s="41"/>
      <c r="N84" s="41"/>
      <c r="O84" s="57"/>
      <c r="P84" s="19"/>
      <c r="Q84" s="19"/>
      <c r="R84" s="19"/>
      <c r="S84" s="105"/>
    </row>
    <row r="85" spans="1:19" ht="30" customHeight="1" thickBot="1" x14ac:dyDescent="0.3">
      <c r="A85" s="103"/>
      <c r="B85" s="1227" t="s">
        <v>146</v>
      </c>
      <c r="C85" s="1228"/>
      <c r="D85" s="1228"/>
      <c r="E85" s="1228"/>
      <c r="F85" s="1228"/>
      <c r="G85" s="1228"/>
      <c r="H85" s="1228"/>
      <c r="I85" s="1228"/>
      <c r="J85" s="1228"/>
      <c r="K85" s="1228"/>
      <c r="L85" s="1228"/>
      <c r="M85" s="1228"/>
      <c r="N85" s="1228"/>
      <c r="O85" s="1228"/>
      <c r="P85" s="1228"/>
      <c r="Q85" s="1229"/>
      <c r="R85" s="18"/>
      <c r="S85" s="104"/>
    </row>
    <row r="86" spans="1:19" ht="30" customHeight="1" x14ac:dyDescent="0.25">
      <c r="A86" s="42"/>
      <c r="B86" s="1293" t="s">
        <v>147</v>
      </c>
      <c r="C86" s="1294"/>
      <c r="D86" s="293" t="s">
        <v>239</v>
      </c>
      <c r="E86" s="1274" t="s">
        <v>148</v>
      </c>
      <c r="F86" s="1274"/>
      <c r="G86" s="293" t="s">
        <v>149</v>
      </c>
      <c r="H86" s="1274" t="s">
        <v>150</v>
      </c>
      <c r="I86" s="1274"/>
      <c r="J86" s="1274" t="s">
        <v>151</v>
      </c>
      <c r="K86" s="1274"/>
      <c r="L86" s="1274" t="s">
        <v>152</v>
      </c>
      <c r="M86" s="1274"/>
      <c r="N86" s="268" t="s">
        <v>240</v>
      </c>
      <c r="O86" s="268" t="s">
        <v>153</v>
      </c>
      <c r="P86" s="268" t="s">
        <v>154</v>
      </c>
      <c r="Q86" s="294" t="s">
        <v>155</v>
      </c>
      <c r="R86" s="18"/>
      <c r="S86" s="104"/>
    </row>
    <row r="87" spans="1:19" s="57" customFormat="1" ht="37.5" customHeight="1" x14ac:dyDescent="0.25">
      <c r="A87" s="295"/>
      <c r="B87" s="1279" t="s">
        <v>156</v>
      </c>
      <c r="C87" s="1280"/>
      <c r="D87" s="296" t="e">
        <f>C7</f>
        <v>#N/A</v>
      </c>
      <c r="E87" s="297"/>
      <c r="F87" s="297"/>
      <c r="G87" s="297"/>
      <c r="H87" s="297"/>
      <c r="I87" s="297"/>
      <c r="J87" s="297"/>
      <c r="K87" s="297"/>
      <c r="L87" s="297"/>
      <c r="M87" s="297"/>
      <c r="N87" s="298"/>
      <c r="O87" s="297"/>
      <c r="P87" s="297"/>
      <c r="Q87" s="299"/>
      <c r="S87" s="300"/>
    </row>
    <row r="88" spans="1:19" ht="30" customHeight="1" x14ac:dyDescent="0.25">
      <c r="A88" s="1284"/>
      <c r="B88" s="1277" t="s">
        <v>157</v>
      </c>
      <c r="C88" s="1278"/>
      <c r="D88" s="301"/>
      <c r="E88" s="58" t="e">
        <f>I7</f>
        <v>#N/A</v>
      </c>
      <c r="F88" s="1081" t="s">
        <v>100</v>
      </c>
      <c r="G88" s="58" t="e">
        <f>O7</f>
        <v>#N/A</v>
      </c>
      <c r="H88" s="58" t="e">
        <f>E88/G88</f>
        <v>#N/A</v>
      </c>
      <c r="I88" s="1081" t="s">
        <v>100</v>
      </c>
      <c r="J88" s="303" t="e">
        <f>K65</f>
        <v>#N/A</v>
      </c>
      <c r="K88" s="59" t="str">
        <f>L65</f>
        <v>No tiene</v>
      </c>
      <c r="L88" s="304" t="e">
        <f>H88*J88</f>
        <v>#N/A</v>
      </c>
      <c r="M88" s="59" t="s">
        <v>4</v>
      </c>
      <c r="N88" s="303" t="e">
        <f>L88^2</f>
        <v>#N/A</v>
      </c>
      <c r="O88" s="59" t="s">
        <v>20</v>
      </c>
      <c r="P88" s="59" t="s">
        <v>158</v>
      </c>
      <c r="Q88" s="60">
        <v>50</v>
      </c>
      <c r="R88" s="19"/>
      <c r="S88" s="104"/>
    </row>
    <row r="89" spans="1:19" ht="30" customHeight="1" x14ac:dyDescent="0.25">
      <c r="A89" s="1284"/>
      <c r="B89" s="1277" t="s">
        <v>159</v>
      </c>
      <c r="C89" s="1278"/>
      <c r="D89" s="301"/>
      <c r="E89" s="303" t="e">
        <f>K7</f>
        <v>#N/A</v>
      </c>
      <c r="F89" s="302" t="s">
        <v>4</v>
      </c>
      <c r="G89" s="58">
        <f>SQRT(3)</f>
        <v>1.7320508075688772</v>
      </c>
      <c r="H89" s="58" t="e">
        <f>E89/G89</f>
        <v>#N/A</v>
      </c>
      <c r="I89" s="302" t="str">
        <f>F89</f>
        <v>mL</v>
      </c>
      <c r="J89" s="303" t="e">
        <f>K65</f>
        <v>#N/A</v>
      </c>
      <c r="K89" s="59" t="str">
        <f>L65</f>
        <v>No tiene</v>
      </c>
      <c r="L89" s="304" t="e">
        <f>H89*J89</f>
        <v>#N/A</v>
      </c>
      <c r="M89" s="59" t="s">
        <v>4</v>
      </c>
      <c r="N89" s="303" t="e">
        <f>L89^2</f>
        <v>#N/A</v>
      </c>
      <c r="O89" s="59" t="s">
        <v>20</v>
      </c>
      <c r="P89" s="59" t="s">
        <v>5</v>
      </c>
      <c r="Q89" s="60" t="s">
        <v>12</v>
      </c>
      <c r="R89" s="19"/>
      <c r="S89" s="104"/>
    </row>
    <row r="90" spans="1:19" s="57" customFormat="1" ht="15" customHeight="1" x14ac:dyDescent="0.25">
      <c r="A90" s="295"/>
      <c r="B90" s="1291"/>
      <c r="C90" s="1292"/>
      <c r="D90" s="1292"/>
      <c r="E90" s="305"/>
      <c r="F90" s="305"/>
      <c r="G90" s="305"/>
      <c r="H90" s="305"/>
      <c r="I90" s="305"/>
      <c r="J90" s="305"/>
      <c r="K90" s="305"/>
      <c r="L90" s="305"/>
      <c r="M90" s="305"/>
      <c r="N90" s="305"/>
      <c r="O90" s="305"/>
      <c r="P90" s="305"/>
      <c r="Q90" s="306"/>
      <c r="S90" s="300"/>
    </row>
    <row r="91" spans="1:19" s="57" customFormat="1" ht="30" customHeight="1" x14ac:dyDescent="0.25">
      <c r="A91" s="295"/>
      <c r="B91" s="1275" t="s">
        <v>283</v>
      </c>
      <c r="C91" s="1276"/>
      <c r="D91" s="307" t="e">
        <f>C17</f>
        <v>#N/A</v>
      </c>
      <c r="E91" s="1281"/>
      <c r="F91" s="1282"/>
      <c r="G91" s="1282"/>
      <c r="H91" s="1282"/>
      <c r="I91" s="1282"/>
      <c r="J91" s="1282"/>
      <c r="K91" s="1282"/>
      <c r="L91" s="1282"/>
      <c r="M91" s="1282"/>
      <c r="N91" s="1282"/>
      <c r="O91" s="1282"/>
      <c r="P91" s="1282"/>
      <c r="Q91" s="1283"/>
      <c r="S91" s="300"/>
    </row>
    <row r="92" spans="1:19" ht="30" customHeight="1" x14ac:dyDescent="0.25">
      <c r="A92" s="42"/>
      <c r="B92" s="1275" t="s">
        <v>284</v>
      </c>
      <c r="C92" s="1276"/>
      <c r="D92" s="307"/>
      <c r="E92" s="304" t="e">
        <f>I17</f>
        <v>#N/A</v>
      </c>
      <c r="F92" s="308" t="str">
        <f>F17</f>
        <v>mL</v>
      </c>
      <c r="G92" s="309" t="e">
        <f>O17</f>
        <v>#N/A</v>
      </c>
      <c r="H92" s="304" t="e">
        <f>+E92/G92</f>
        <v>#N/A</v>
      </c>
      <c r="I92" s="308" t="str">
        <f>F92</f>
        <v>mL</v>
      </c>
      <c r="J92" s="310" t="e">
        <f>+K83</f>
        <v>#N/A</v>
      </c>
      <c r="K92" s="308"/>
      <c r="L92" s="311" t="e">
        <f>H92*J92</f>
        <v>#N/A</v>
      </c>
      <c r="M92" s="308" t="s">
        <v>4</v>
      </c>
      <c r="N92" s="311" t="e">
        <f>L92^2</f>
        <v>#N/A</v>
      </c>
      <c r="O92" s="59" t="s">
        <v>20</v>
      </c>
      <c r="P92" s="59" t="s">
        <v>158</v>
      </c>
      <c r="Q92" s="60">
        <v>50</v>
      </c>
      <c r="R92" s="19"/>
      <c r="S92" s="104"/>
    </row>
    <row r="93" spans="1:19" ht="30" customHeight="1" x14ac:dyDescent="0.25">
      <c r="A93" s="42"/>
      <c r="B93" s="1277" t="s">
        <v>285</v>
      </c>
      <c r="C93" s="1278"/>
      <c r="D93" s="307"/>
      <c r="E93" s="304" t="e">
        <f>E17</f>
        <v>#N/A</v>
      </c>
      <c r="F93" s="308" t="str">
        <f>F17</f>
        <v>mL</v>
      </c>
      <c r="G93" s="304">
        <f>SQRT(12)</f>
        <v>3.4641016151377544</v>
      </c>
      <c r="H93" s="304" t="e">
        <f>+E93/G93</f>
        <v>#N/A</v>
      </c>
      <c r="I93" s="308" t="str">
        <f t="shared" ref="I93" si="6">F93</f>
        <v>mL</v>
      </c>
      <c r="J93" s="310" t="e">
        <f>+K83</f>
        <v>#N/A</v>
      </c>
      <c r="K93" s="308"/>
      <c r="L93" s="311" t="e">
        <f>H93*J93</f>
        <v>#N/A</v>
      </c>
      <c r="M93" s="308" t="s">
        <v>4</v>
      </c>
      <c r="N93" s="311" t="e">
        <f t="shared" ref="N93" si="7">L93^2</f>
        <v>#N/A</v>
      </c>
      <c r="O93" s="59" t="s">
        <v>20</v>
      </c>
      <c r="P93" s="59" t="s">
        <v>5</v>
      </c>
      <c r="Q93" s="60" t="s">
        <v>12</v>
      </c>
      <c r="R93" s="19"/>
      <c r="S93" s="104"/>
    </row>
    <row r="94" spans="1:19" ht="30" customHeight="1" x14ac:dyDescent="0.25">
      <c r="A94" s="42"/>
      <c r="B94" s="1277" t="s">
        <v>286</v>
      </c>
      <c r="C94" s="1278"/>
      <c r="D94" s="307"/>
      <c r="E94" s="304" t="e">
        <f>K17</f>
        <v>#N/A</v>
      </c>
      <c r="F94" s="308" t="str">
        <f>F17</f>
        <v>mL</v>
      </c>
      <c r="G94" s="303" t="e">
        <f>K17</f>
        <v>#N/A</v>
      </c>
      <c r="H94" s="312" t="e">
        <f>E94/G94</f>
        <v>#N/A</v>
      </c>
      <c r="I94" s="308" t="str">
        <f>F94</f>
        <v>mL</v>
      </c>
      <c r="J94" s="310" t="e">
        <f>+K83</f>
        <v>#N/A</v>
      </c>
      <c r="K94" s="308"/>
      <c r="L94" s="310" t="e">
        <f t="shared" ref="L94" si="8">H94*J94</f>
        <v>#N/A</v>
      </c>
      <c r="M94" s="308" t="s">
        <v>4</v>
      </c>
      <c r="N94" s="313" t="e">
        <f>L94^2</f>
        <v>#N/A</v>
      </c>
      <c r="O94" s="59" t="s">
        <v>20</v>
      </c>
      <c r="P94" s="59" t="s">
        <v>5</v>
      </c>
      <c r="Q94" s="60" t="s">
        <v>12</v>
      </c>
      <c r="R94" s="19"/>
      <c r="S94" s="104"/>
    </row>
    <row r="95" spans="1:19" s="15" customFormat="1" ht="5.0999999999999996" customHeight="1" x14ac:dyDescent="0.25">
      <c r="A95" s="222"/>
      <c r="B95" s="314"/>
      <c r="C95" s="315"/>
      <c r="D95" s="316"/>
      <c r="E95" s="317"/>
      <c r="F95" s="318"/>
      <c r="G95" s="319"/>
      <c r="H95" s="320"/>
      <c r="I95" s="321"/>
      <c r="J95" s="322"/>
      <c r="K95" s="323"/>
      <c r="L95" s="320"/>
      <c r="M95" s="320"/>
      <c r="N95" s="324"/>
      <c r="O95" s="320"/>
      <c r="P95" s="320"/>
      <c r="Q95" s="325"/>
      <c r="R95" s="13"/>
      <c r="S95" s="227"/>
    </row>
    <row r="96" spans="1:19" s="57" customFormat="1" ht="37.5" customHeight="1" x14ac:dyDescent="0.25">
      <c r="A96" s="295"/>
      <c r="B96" s="1289" t="s">
        <v>160</v>
      </c>
      <c r="C96" s="1290"/>
      <c r="D96" s="326" t="e">
        <f>G48</f>
        <v>#DIV/0!</v>
      </c>
      <c r="E96" s="327" t="e">
        <f>G48</f>
        <v>#DIV/0!</v>
      </c>
      <c r="F96" s="302" t="s">
        <v>3</v>
      </c>
      <c r="G96" s="305"/>
      <c r="H96" s="305"/>
      <c r="I96" s="305"/>
      <c r="J96" s="328"/>
      <c r="K96" s="305"/>
      <c r="L96" s="305"/>
      <c r="M96" s="305"/>
      <c r="N96" s="305"/>
      <c r="O96" s="305"/>
      <c r="P96" s="305"/>
      <c r="Q96" s="306"/>
      <c r="S96" s="300"/>
    </row>
    <row r="97" spans="1:19" ht="30" customHeight="1" x14ac:dyDescent="0.25">
      <c r="A97" s="42"/>
      <c r="B97" s="1277" t="s">
        <v>161</v>
      </c>
      <c r="C97" s="1278"/>
      <c r="D97" s="307"/>
      <c r="E97" s="327" t="e">
        <f>E9</f>
        <v>#N/A</v>
      </c>
      <c r="F97" s="302" t="s">
        <v>3</v>
      </c>
      <c r="G97" s="58">
        <f>SQRT(12)</f>
        <v>3.4641016151377544</v>
      </c>
      <c r="H97" s="58" t="e">
        <f>E97/G97</f>
        <v>#N/A</v>
      </c>
      <c r="I97" s="1082" t="s">
        <v>3</v>
      </c>
      <c r="J97" s="329" t="e">
        <f>K67</f>
        <v>#N/A</v>
      </c>
      <c r="K97" s="59" t="s">
        <v>22</v>
      </c>
      <c r="L97" s="58" t="e">
        <f t="shared" ref="L97:L110" si="9">H97*J97</f>
        <v>#N/A</v>
      </c>
      <c r="M97" s="59" t="s">
        <v>4</v>
      </c>
      <c r="N97" s="58" t="e">
        <f t="shared" ref="N97:N110" si="10">L97^2</f>
        <v>#N/A</v>
      </c>
      <c r="O97" s="59" t="s">
        <v>21</v>
      </c>
      <c r="P97" s="59" t="s">
        <v>5</v>
      </c>
      <c r="Q97" s="60" t="s">
        <v>12</v>
      </c>
      <c r="R97" s="19"/>
      <c r="S97" s="104"/>
    </row>
    <row r="98" spans="1:19" ht="30" customHeight="1" x14ac:dyDescent="0.25">
      <c r="A98" s="42"/>
      <c r="B98" s="1277" t="s">
        <v>162</v>
      </c>
      <c r="C98" s="1278"/>
      <c r="D98" s="307"/>
      <c r="E98" s="58" t="e">
        <f>I9</f>
        <v>#N/A</v>
      </c>
      <c r="F98" s="302" t="str">
        <f>F11</f>
        <v>°C</v>
      </c>
      <c r="G98" s="58" t="e">
        <f>O8</f>
        <v>#N/A</v>
      </c>
      <c r="H98" s="58" t="e">
        <f t="shared" ref="H98:H110" si="11">E98/G98</f>
        <v>#N/A</v>
      </c>
      <c r="I98" s="1082" t="s">
        <v>3</v>
      </c>
      <c r="J98" s="329" t="e">
        <f>K67</f>
        <v>#N/A</v>
      </c>
      <c r="K98" s="59" t="s">
        <v>22</v>
      </c>
      <c r="L98" s="58" t="e">
        <f t="shared" si="9"/>
        <v>#N/A</v>
      </c>
      <c r="M98" s="59" t="s">
        <v>4</v>
      </c>
      <c r="N98" s="58" t="e">
        <f t="shared" si="10"/>
        <v>#N/A</v>
      </c>
      <c r="O98" s="59" t="s">
        <v>20</v>
      </c>
      <c r="P98" s="59" t="s">
        <v>158</v>
      </c>
      <c r="Q98" s="60">
        <v>50</v>
      </c>
      <c r="R98" s="19"/>
      <c r="S98" s="104"/>
    </row>
    <row r="99" spans="1:19" ht="30" customHeight="1" x14ac:dyDescent="0.25">
      <c r="A99" s="42"/>
      <c r="B99" s="1277" t="s">
        <v>159</v>
      </c>
      <c r="C99" s="1278"/>
      <c r="D99" s="307"/>
      <c r="E99" s="330" t="e">
        <f>K9</f>
        <v>#N/A</v>
      </c>
      <c r="F99" s="302" t="str">
        <f>F11</f>
        <v>°C</v>
      </c>
      <c r="G99" s="58">
        <f>SQRT(3)</f>
        <v>1.7320508075688772</v>
      </c>
      <c r="H99" s="58" t="e">
        <f t="shared" si="11"/>
        <v>#N/A</v>
      </c>
      <c r="I99" s="1082" t="s">
        <v>3</v>
      </c>
      <c r="J99" s="329" t="e">
        <f>K67</f>
        <v>#N/A</v>
      </c>
      <c r="K99" s="59" t="s">
        <v>22</v>
      </c>
      <c r="L99" s="58" t="e">
        <f t="shared" si="9"/>
        <v>#N/A</v>
      </c>
      <c r="M99" s="59" t="s">
        <v>4</v>
      </c>
      <c r="N99" s="58" t="e">
        <f t="shared" si="10"/>
        <v>#N/A</v>
      </c>
      <c r="O99" s="59" t="s">
        <v>20</v>
      </c>
      <c r="P99" s="59" t="s">
        <v>5</v>
      </c>
      <c r="Q99" s="60" t="s">
        <v>12</v>
      </c>
      <c r="R99" s="19"/>
      <c r="S99" s="104"/>
    </row>
    <row r="100" spans="1:19" ht="30" customHeight="1" x14ac:dyDescent="0.25">
      <c r="A100" s="42"/>
      <c r="B100" s="1277" t="s">
        <v>163</v>
      </c>
      <c r="C100" s="1278"/>
      <c r="D100" s="307"/>
      <c r="E100" s="58">
        <f>(MAX(D43:D47)-(MIN(D43:D47)))</f>
        <v>0</v>
      </c>
      <c r="F100" s="302" t="str">
        <f>F11</f>
        <v>°C</v>
      </c>
      <c r="G100" s="58">
        <f>SQRT(12)</f>
        <v>3.4641016151377544</v>
      </c>
      <c r="H100" s="58">
        <f t="shared" si="11"/>
        <v>0</v>
      </c>
      <c r="I100" s="1082" t="s">
        <v>3</v>
      </c>
      <c r="J100" s="329" t="e">
        <f>K67</f>
        <v>#N/A</v>
      </c>
      <c r="K100" s="59" t="s">
        <v>22</v>
      </c>
      <c r="L100" s="58" t="e">
        <f t="shared" si="9"/>
        <v>#N/A</v>
      </c>
      <c r="M100" s="59" t="s">
        <v>4</v>
      </c>
      <c r="N100" s="58" t="e">
        <f t="shared" si="10"/>
        <v>#N/A</v>
      </c>
      <c r="O100" s="59" t="s">
        <v>21</v>
      </c>
      <c r="P100" s="59" t="s">
        <v>5</v>
      </c>
      <c r="Q100" s="60" t="s">
        <v>12</v>
      </c>
      <c r="R100" s="19"/>
      <c r="S100" s="104"/>
    </row>
    <row r="101" spans="1:19" s="57" customFormat="1" ht="35.450000000000003" customHeight="1" x14ac:dyDescent="0.25">
      <c r="A101" s="295"/>
      <c r="B101" s="1287" t="s">
        <v>164</v>
      </c>
      <c r="C101" s="1288"/>
      <c r="D101" s="326" t="e">
        <f>M48</f>
        <v>#DIV/0!</v>
      </c>
      <c r="E101" s="327" t="e">
        <f>M48</f>
        <v>#DIV/0!</v>
      </c>
      <c r="F101" s="302" t="str">
        <f>F11</f>
        <v>°C</v>
      </c>
      <c r="G101" s="305"/>
      <c r="H101" s="305"/>
      <c r="I101" s="1058"/>
      <c r="J101" s="328"/>
      <c r="K101" s="305"/>
      <c r="L101" s="305"/>
      <c r="M101" s="305"/>
      <c r="N101" s="305"/>
      <c r="O101" s="305"/>
      <c r="P101" s="305"/>
      <c r="Q101" s="306"/>
      <c r="S101" s="300"/>
    </row>
    <row r="102" spans="1:19" ht="30" customHeight="1" x14ac:dyDescent="0.25">
      <c r="A102" s="42"/>
      <c r="B102" s="1277" t="s">
        <v>161</v>
      </c>
      <c r="C102" s="1278"/>
      <c r="D102" s="307" t="e">
        <f>E11</f>
        <v>#N/A</v>
      </c>
      <c r="E102" s="58" t="e">
        <f>E11</f>
        <v>#N/A</v>
      </c>
      <c r="F102" s="59" t="str">
        <f>F11</f>
        <v>°C</v>
      </c>
      <c r="G102" s="58">
        <f>SQRT(12)</f>
        <v>3.4641016151377544</v>
      </c>
      <c r="H102" s="58" t="e">
        <f t="shared" si="11"/>
        <v>#N/A</v>
      </c>
      <c r="I102" s="1082" t="s">
        <v>3</v>
      </c>
      <c r="J102" s="329" t="e">
        <f>K69</f>
        <v>#N/A</v>
      </c>
      <c r="K102" s="59" t="s">
        <v>22</v>
      </c>
      <c r="L102" s="58" t="e">
        <f t="shared" si="9"/>
        <v>#N/A</v>
      </c>
      <c r="M102" s="59" t="s">
        <v>4</v>
      </c>
      <c r="N102" s="58" t="e">
        <f t="shared" si="10"/>
        <v>#N/A</v>
      </c>
      <c r="O102" s="59" t="s">
        <v>21</v>
      </c>
      <c r="P102" s="59" t="s">
        <v>5</v>
      </c>
      <c r="Q102" s="60" t="s">
        <v>12</v>
      </c>
      <c r="R102" s="19"/>
      <c r="S102" s="104"/>
    </row>
    <row r="103" spans="1:19" ht="30" customHeight="1" x14ac:dyDescent="0.25">
      <c r="A103" s="42"/>
      <c r="B103" s="1277" t="s">
        <v>162</v>
      </c>
      <c r="C103" s="1278"/>
      <c r="D103" s="307"/>
      <c r="E103" s="58" t="e">
        <f>I12</f>
        <v>#N/A</v>
      </c>
      <c r="F103" s="302" t="str">
        <f>F11</f>
        <v>°C</v>
      </c>
      <c r="G103" s="58" t="e">
        <f>O11</f>
        <v>#N/A</v>
      </c>
      <c r="H103" s="58" t="e">
        <f t="shared" si="11"/>
        <v>#N/A</v>
      </c>
      <c r="I103" s="1082" t="s">
        <v>3</v>
      </c>
      <c r="J103" s="329" t="e">
        <f>K69</f>
        <v>#N/A</v>
      </c>
      <c r="K103" s="59" t="s">
        <v>22</v>
      </c>
      <c r="L103" s="58" t="e">
        <f>H103*J103</f>
        <v>#N/A</v>
      </c>
      <c r="M103" s="59" t="s">
        <v>4</v>
      </c>
      <c r="N103" s="58" t="e">
        <f>L103^2</f>
        <v>#N/A</v>
      </c>
      <c r="O103" s="59" t="s">
        <v>20</v>
      </c>
      <c r="P103" s="59" t="s">
        <v>158</v>
      </c>
      <c r="Q103" s="60">
        <v>50</v>
      </c>
      <c r="R103" s="19"/>
      <c r="S103" s="104"/>
    </row>
    <row r="104" spans="1:19" ht="30" customHeight="1" x14ac:dyDescent="0.25">
      <c r="A104" s="42"/>
      <c r="B104" s="1277" t="s">
        <v>159</v>
      </c>
      <c r="C104" s="1278"/>
      <c r="D104" s="331"/>
      <c r="E104" s="330" t="e">
        <f>K12</f>
        <v>#N/A</v>
      </c>
      <c r="F104" s="302" t="str">
        <f>F11</f>
        <v>°C</v>
      </c>
      <c r="G104" s="58">
        <f>SQRT(3)</f>
        <v>1.7320508075688772</v>
      </c>
      <c r="H104" s="58" t="e">
        <f t="shared" si="11"/>
        <v>#N/A</v>
      </c>
      <c r="I104" s="1082" t="s">
        <v>3</v>
      </c>
      <c r="J104" s="329" t="e">
        <f>K69</f>
        <v>#N/A</v>
      </c>
      <c r="K104" s="59" t="s">
        <v>22</v>
      </c>
      <c r="L104" s="58" t="e">
        <f t="shared" si="9"/>
        <v>#N/A</v>
      </c>
      <c r="M104" s="59" t="s">
        <v>4</v>
      </c>
      <c r="N104" s="58" t="e">
        <f t="shared" si="10"/>
        <v>#N/A</v>
      </c>
      <c r="O104" s="59" t="s">
        <v>20</v>
      </c>
      <c r="P104" s="59" t="s">
        <v>5</v>
      </c>
      <c r="Q104" s="60" t="s">
        <v>12</v>
      </c>
      <c r="R104" s="19"/>
      <c r="S104" s="104"/>
    </row>
    <row r="105" spans="1:19" ht="30" customHeight="1" x14ac:dyDescent="0.25">
      <c r="A105" s="42"/>
      <c r="B105" s="1277" t="s">
        <v>163</v>
      </c>
      <c r="C105" s="1278"/>
      <c r="D105" s="301"/>
      <c r="E105" s="332">
        <f>(MAX(J43:J47)-(MIN(J43:J47)))</f>
        <v>0</v>
      </c>
      <c r="F105" s="302" t="str">
        <f>F11</f>
        <v>°C</v>
      </c>
      <c r="G105" s="58">
        <f>SQRT(12)</f>
        <v>3.4641016151377544</v>
      </c>
      <c r="H105" s="58">
        <f t="shared" si="11"/>
        <v>0</v>
      </c>
      <c r="I105" s="1082" t="s">
        <v>3</v>
      </c>
      <c r="J105" s="329" t="e">
        <f>K69</f>
        <v>#N/A</v>
      </c>
      <c r="K105" s="59" t="s">
        <v>22</v>
      </c>
      <c r="L105" s="58" t="e">
        <f t="shared" si="9"/>
        <v>#N/A</v>
      </c>
      <c r="M105" s="59" t="s">
        <v>4</v>
      </c>
      <c r="N105" s="58" t="e">
        <f t="shared" si="10"/>
        <v>#N/A</v>
      </c>
      <c r="O105" s="59" t="s">
        <v>21</v>
      </c>
      <c r="P105" s="59" t="s">
        <v>5</v>
      </c>
      <c r="Q105" s="60" t="s">
        <v>12</v>
      </c>
      <c r="R105" s="19"/>
      <c r="S105" s="104"/>
    </row>
    <row r="106" spans="1:19" s="57" customFormat="1" ht="36" customHeight="1" x14ac:dyDescent="0.25">
      <c r="A106" s="295"/>
      <c r="B106" s="1287" t="s">
        <v>253</v>
      </c>
      <c r="C106" s="1288"/>
      <c r="D106" s="333">
        <f>D36</f>
        <v>-6.2676999999999996E-5</v>
      </c>
      <c r="E106" s="334">
        <f>D36</f>
        <v>-6.2676999999999996E-5</v>
      </c>
      <c r="F106" s="59" t="s">
        <v>11</v>
      </c>
      <c r="G106" s="305"/>
      <c r="H106" s="305"/>
      <c r="I106" s="305"/>
      <c r="J106" s="328"/>
      <c r="K106" s="305"/>
      <c r="L106" s="305"/>
      <c r="M106" s="305"/>
      <c r="N106" s="305"/>
      <c r="O106" s="305"/>
      <c r="P106" s="305"/>
      <c r="Q106" s="306"/>
      <c r="S106" s="300"/>
    </row>
    <row r="107" spans="1:19" ht="40.5" customHeight="1" x14ac:dyDescent="0.25">
      <c r="A107" s="42"/>
      <c r="B107" s="1277" t="s">
        <v>165</v>
      </c>
      <c r="C107" s="1278"/>
      <c r="D107" s="301"/>
      <c r="E107" s="58">
        <f>(D36*5)/100</f>
        <v>-3.1338500000000001E-6</v>
      </c>
      <c r="F107" s="59" t="s">
        <v>11</v>
      </c>
      <c r="G107" s="58">
        <f>SQRT(3)</f>
        <v>1.7320508075688772</v>
      </c>
      <c r="H107" s="58">
        <f t="shared" si="11"/>
        <v>-1.8093291410999089E-6</v>
      </c>
      <c r="I107" s="1083" t="s">
        <v>517</v>
      </c>
      <c r="J107" s="303" t="e">
        <f>K75</f>
        <v>#N/A</v>
      </c>
      <c r="K107" s="1085" t="s">
        <v>520</v>
      </c>
      <c r="L107" s="58" t="e">
        <f t="shared" si="9"/>
        <v>#N/A</v>
      </c>
      <c r="M107" s="59" t="s">
        <v>4</v>
      </c>
      <c r="N107" s="58" t="e">
        <f t="shared" si="10"/>
        <v>#N/A</v>
      </c>
      <c r="O107" s="59" t="s">
        <v>166</v>
      </c>
      <c r="P107" s="59" t="s">
        <v>5</v>
      </c>
      <c r="Q107" s="60" t="s">
        <v>12</v>
      </c>
      <c r="R107" s="19"/>
      <c r="S107" s="104"/>
    </row>
    <row r="108" spans="1:19" ht="40.5" customHeight="1" x14ac:dyDescent="0.25">
      <c r="A108" s="42"/>
      <c r="B108" s="1277" t="s">
        <v>167</v>
      </c>
      <c r="C108" s="1278"/>
      <c r="D108" s="335" t="s">
        <v>1</v>
      </c>
      <c r="E108" s="334" t="e">
        <f>(D32*5)/100</f>
        <v>#N/A</v>
      </c>
      <c r="F108" s="59" t="s">
        <v>11</v>
      </c>
      <c r="G108" s="58">
        <f>SQRT(3)</f>
        <v>1.7320508075688772</v>
      </c>
      <c r="H108" s="58" t="e">
        <f t="shared" si="11"/>
        <v>#N/A</v>
      </c>
      <c r="I108" s="1083" t="s">
        <v>517</v>
      </c>
      <c r="J108" s="303" t="e">
        <f>K71</f>
        <v>#N/A</v>
      </c>
      <c r="K108" s="1085" t="s">
        <v>520</v>
      </c>
      <c r="L108" s="58" t="e">
        <f t="shared" si="9"/>
        <v>#N/A</v>
      </c>
      <c r="M108" s="59" t="s">
        <v>4</v>
      </c>
      <c r="N108" s="58" t="e">
        <f t="shared" si="10"/>
        <v>#N/A</v>
      </c>
      <c r="O108" s="59" t="s">
        <v>168</v>
      </c>
      <c r="P108" s="59" t="s">
        <v>5</v>
      </c>
      <c r="Q108" s="60" t="s">
        <v>12</v>
      </c>
      <c r="R108" s="19"/>
      <c r="S108" s="104"/>
    </row>
    <row r="109" spans="1:19" ht="40.5" customHeight="1" x14ac:dyDescent="0.25">
      <c r="A109" s="42"/>
      <c r="B109" s="1277" t="s">
        <v>169</v>
      </c>
      <c r="C109" s="1278"/>
      <c r="D109" s="335" t="s">
        <v>0</v>
      </c>
      <c r="E109" s="334" t="e">
        <f>(F32*5)/100</f>
        <v>#N/A</v>
      </c>
      <c r="F109" s="59" t="s">
        <v>11</v>
      </c>
      <c r="G109" s="58">
        <f>SQRT(3)</f>
        <v>1.7320508075688772</v>
      </c>
      <c r="H109" s="58" t="e">
        <f t="shared" si="11"/>
        <v>#N/A</v>
      </c>
      <c r="I109" s="1083" t="s">
        <v>517</v>
      </c>
      <c r="J109" s="303" t="e">
        <f>K73</f>
        <v>#N/A</v>
      </c>
      <c r="K109" s="1085" t="s">
        <v>520</v>
      </c>
      <c r="L109" s="58" t="e">
        <f t="shared" si="9"/>
        <v>#N/A</v>
      </c>
      <c r="M109" s="59" t="s">
        <v>4</v>
      </c>
      <c r="N109" s="58" t="e">
        <f t="shared" si="10"/>
        <v>#N/A</v>
      </c>
      <c r="O109" s="59" t="s">
        <v>170</v>
      </c>
      <c r="P109" s="59" t="s">
        <v>5</v>
      </c>
      <c r="Q109" s="60" t="s">
        <v>12</v>
      </c>
      <c r="R109" s="19"/>
      <c r="S109" s="104"/>
    </row>
    <row r="110" spans="1:19" s="57" customFormat="1" ht="40.5" customHeight="1" x14ac:dyDescent="0.25">
      <c r="A110" s="42"/>
      <c r="B110" s="1277" t="s">
        <v>169</v>
      </c>
      <c r="C110" s="1278"/>
      <c r="D110" s="307" t="s">
        <v>34</v>
      </c>
      <c r="E110" s="1084">
        <f>((0.0000099*0.075)/(SQRT(12)))</f>
        <v>2.1434128743664856E-7</v>
      </c>
      <c r="F110" s="59" t="s">
        <v>11</v>
      </c>
      <c r="G110" s="58">
        <f>SQRT(3)</f>
        <v>1.7320508075688772</v>
      </c>
      <c r="H110" s="303">
        <f t="shared" si="11"/>
        <v>1.2375000000000001E-7</v>
      </c>
      <c r="I110" s="1083" t="s">
        <v>517</v>
      </c>
      <c r="J110" s="310" t="e">
        <f>D35</f>
        <v>#N/A</v>
      </c>
      <c r="K110" s="1085" t="s">
        <v>520</v>
      </c>
      <c r="L110" s="311" t="e">
        <f t="shared" si="9"/>
        <v>#N/A</v>
      </c>
      <c r="M110" s="59" t="s">
        <v>4</v>
      </c>
      <c r="N110" s="313" t="e">
        <f t="shared" si="10"/>
        <v>#N/A</v>
      </c>
      <c r="O110" s="59" t="s">
        <v>170</v>
      </c>
      <c r="P110" s="59" t="s">
        <v>5</v>
      </c>
      <c r="Q110" s="60" t="s">
        <v>12</v>
      </c>
      <c r="S110" s="104"/>
    </row>
    <row r="111" spans="1:19" s="15" customFormat="1" ht="30" customHeight="1" thickBot="1" x14ac:dyDescent="0.3">
      <c r="A111" s="222"/>
      <c r="B111" s="222"/>
      <c r="C111" s="13"/>
      <c r="D111" s="13"/>
      <c r="E111" s="13"/>
      <c r="F111" s="13"/>
      <c r="G111" s="13"/>
      <c r="H111" s="13"/>
      <c r="I111" s="13"/>
      <c r="J111" s="13"/>
      <c r="K111" s="13"/>
      <c r="L111" s="13"/>
      <c r="M111" s="13"/>
      <c r="N111" s="13"/>
      <c r="O111" s="13"/>
      <c r="P111" s="13"/>
      <c r="Q111" s="227"/>
      <c r="R111" s="64"/>
      <c r="S111" s="227"/>
    </row>
    <row r="112" spans="1:19" ht="30" customHeight="1" thickBot="1" x14ac:dyDescent="0.3">
      <c r="A112" s="42"/>
      <c r="B112" s="1297" t="s">
        <v>171</v>
      </c>
      <c r="C112" s="1298"/>
      <c r="D112" s="1298"/>
      <c r="E112" s="1298"/>
      <c r="F112" s="1298"/>
      <c r="G112" s="1298"/>
      <c r="H112" s="1298"/>
      <c r="I112" s="1298"/>
      <c r="J112" s="1298"/>
      <c r="K112" s="1298"/>
      <c r="L112" s="1298"/>
      <c r="M112" s="1298"/>
      <c r="N112" s="1298"/>
      <c r="O112" s="1298"/>
      <c r="P112" s="1298"/>
      <c r="Q112" s="1299"/>
      <c r="R112" s="18"/>
      <c r="S112" s="104"/>
    </row>
    <row r="113" spans="1:31" ht="30" customHeight="1" x14ac:dyDescent="0.25">
      <c r="A113" s="336"/>
      <c r="B113" s="1300" t="s">
        <v>172</v>
      </c>
      <c r="C113" s="1301"/>
      <c r="D113" s="1301"/>
      <c r="E113" s="66" t="e">
        <f>(3.1416*(D33)^2/4)*D34</f>
        <v>#N/A</v>
      </c>
      <c r="F113" s="67" t="s">
        <v>4</v>
      </c>
      <c r="G113" s="66">
        <f>SQRT(3)</f>
        <v>1.7320508075688772</v>
      </c>
      <c r="H113" s="66" t="e">
        <f>E113/G113</f>
        <v>#N/A</v>
      </c>
      <c r="I113" s="67" t="s">
        <v>4</v>
      </c>
      <c r="J113" s="66">
        <v>1</v>
      </c>
      <c r="K113" s="67"/>
      <c r="L113" s="66" t="e">
        <f>H113*J113</f>
        <v>#N/A</v>
      </c>
      <c r="M113" s="67" t="s">
        <v>4</v>
      </c>
      <c r="N113" s="66" t="e">
        <f>L113^2</f>
        <v>#N/A</v>
      </c>
      <c r="O113" s="67" t="s">
        <v>19</v>
      </c>
      <c r="P113" s="67" t="s">
        <v>5</v>
      </c>
      <c r="Q113" s="68" t="s">
        <v>12</v>
      </c>
      <c r="R113" s="19"/>
      <c r="S113" s="104"/>
    </row>
    <row r="114" spans="1:31" ht="30" customHeight="1" x14ac:dyDescent="0.25">
      <c r="A114" s="336"/>
      <c r="B114" s="1302" t="s">
        <v>173</v>
      </c>
      <c r="C114" s="1303"/>
      <c r="D114" s="1303"/>
      <c r="E114" s="1086" t="e">
        <f>((3.1416*(F33)^2)/4)*F34</f>
        <v>#N/A</v>
      </c>
      <c r="F114" s="59" t="s">
        <v>4</v>
      </c>
      <c r="G114" s="58">
        <f>SQRT(3)</f>
        <v>1.7320508075688772</v>
      </c>
      <c r="H114" s="58" t="e">
        <f>E114/G114</f>
        <v>#N/A</v>
      </c>
      <c r="I114" s="59" t="s">
        <v>4</v>
      </c>
      <c r="J114" s="58">
        <v>1</v>
      </c>
      <c r="K114" s="59"/>
      <c r="L114" s="58" t="e">
        <f>H114*J114</f>
        <v>#N/A</v>
      </c>
      <c r="M114" s="59" t="s">
        <v>4</v>
      </c>
      <c r="N114" s="58" t="e">
        <f>L114^2</f>
        <v>#N/A</v>
      </c>
      <c r="O114" s="59" t="s">
        <v>19</v>
      </c>
      <c r="P114" s="59" t="s">
        <v>5</v>
      </c>
      <c r="Q114" s="60" t="s">
        <v>12</v>
      </c>
      <c r="R114" s="19"/>
      <c r="S114" s="104"/>
    </row>
    <row r="115" spans="1:31" ht="30" customHeight="1" x14ac:dyDescent="0.25">
      <c r="A115" s="42"/>
      <c r="B115" s="1302" t="s">
        <v>174</v>
      </c>
      <c r="C115" s="1303"/>
      <c r="D115" s="1303"/>
      <c r="E115" s="337" t="e">
        <f>H60</f>
        <v>#N/A</v>
      </c>
      <c r="F115" s="59" t="s">
        <v>4</v>
      </c>
      <c r="G115" s="332">
        <f>SQRT(5)</f>
        <v>2.2360679774997898</v>
      </c>
      <c r="H115" s="303" t="e">
        <f>E115/G115</f>
        <v>#N/A</v>
      </c>
      <c r="I115" s="59" t="s">
        <v>4</v>
      </c>
      <c r="J115" s="82">
        <v>1</v>
      </c>
      <c r="K115" s="59"/>
      <c r="L115" s="58" t="e">
        <f>H115*J115</f>
        <v>#N/A</v>
      </c>
      <c r="M115" s="59" t="s">
        <v>4</v>
      </c>
      <c r="N115" s="327" t="e">
        <f>L115^2</f>
        <v>#N/A</v>
      </c>
      <c r="O115" s="59" t="s">
        <v>6</v>
      </c>
      <c r="P115" s="59" t="s">
        <v>158</v>
      </c>
      <c r="Q115" s="60">
        <f>B47-1</f>
        <v>4</v>
      </c>
      <c r="R115" s="19"/>
      <c r="S115" s="104"/>
    </row>
    <row r="116" spans="1:31" ht="30" customHeight="1" thickBot="1" x14ac:dyDescent="0.3">
      <c r="A116" s="338" t="s">
        <v>175</v>
      </c>
      <c r="B116" s="1304" t="s">
        <v>251</v>
      </c>
      <c r="C116" s="1305"/>
      <c r="D116" s="1305"/>
      <c r="E116" s="1087" t="e">
        <f>O67/10000</f>
        <v>#N/A</v>
      </c>
      <c r="F116" s="61" t="s">
        <v>4</v>
      </c>
      <c r="G116" s="1087">
        <f>SQRT(3)</f>
        <v>1.7320508075688772</v>
      </c>
      <c r="H116" s="62" t="e">
        <f>E116/G116</f>
        <v>#N/A</v>
      </c>
      <c r="I116" s="61" t="s">
        <v>4</v>
      </c>
      <c r="J116" s="62">
        <v>1</v>
      </c>
      <c r="K116" s="61"/>
      <c r="L116" s="62" t="e">
        <f>H116*J116</f>
        <v>#N/A</v>
      </c>
      <c r="M116" s="61" t="s">
        <v>4</v>
      </c>
      <c r="N116" s="102" t="e">
        <f>L116^2</f>
        <v>#N/A</v>
      </c>
      <c r="O116" s="61" t="s">
        <v>177</v>
      </c>
      <c r="P116" s="61" t="s">
        <v>5</v>
      </c>
      <c r="Q116" s="63" t="s">
        <v>12</v>
      </c>
      <c r="R116" s="19"/>
      <c r="S116" s="104"/>
    </row>
    <row r="117" spans="1:31" s="15" customFormat="1" ht="39.950000000000003" customHeight="1" thickBot="1" x14ac:dyDescent="0.3">
      <c r="A117" s="222"/>
      <c r="B117" s="1306"/>
      <c r="C117" s="1306"/>
      <c r="D117" s="1306"/>
      <c r="E117" s="146"/>
      <c r="F117" s="146"/>
      <c r="G117" s="339"/>
      <c r="H117" s="146"/>
      <c r="I117" s="146"/>
      <c r="J117" s="146"/>
      <c r="K117" s="146"/>
      <c r="L117" s="340"/>
      <c r="M117" s="341"/>
      <c r="N117" s="678" t="e">
        <f>SQRT(SUM(N88:N89,N92:N94,N97:N100,N102:N105,N107:N109,N110,N113,N114,N115,N116,))</f>
        <v>#N/A</v>
      </c>
      <c r="O117" s="146"/>
      <c r="P117" s="339"/>
      <c r="Q117" s="339"/>
      <c r="R117" s="13"/>
      <c r="S117" s="227"/>
    </row>
    <row r="118" spans="1:31" s="18" customFormat="1" ht="30" customHeight="1" thickBot="1" x14ac:dyDescent="0.3">
      <c r="A118" s="42"/>
      <c r="B118" s="1307" t="s">
        <v>179</v>
      </c>
      <c r="C118" s="1308"/>
      <c r="D118" s="1308"/>
      <c r="E118" s="1308"/>
      <c r="F118" s="1308"/>
      <c r="G118" s="1308"/>
      <c r="H118" s="1308"/>
      <c r="I118" s="1308"/>
      <c r="J118" s="1309"/>
      <c r="K118" s="70"/>
      <c r="L118" s="1310" t="s">
        <v>178</v>
      </c>
      <c r="M118" s="1311"/>
      <c r="N118" s="342" t="e">
        <f>E121*N117</f>
        <v>#N/A</v>
      </c>
      <c r="O118" s="70"/>
      <c r="P118" s="70"/>
      <c r="Q118" s="70"/>
      <c r="R118" s="70"/>
      <c r="S118" s="104"/>
    </row>
    <row r="119" spans="1:31" s="18" customFormat="1" ht="30" customHeight="1" thickBot="1" x14ac:dyDescent="0.3">
      <c r="A119" s="42"/>
      <c r="B119" s="622"/>
      <c r="C119" s="634" t="s">
        <v>180</v>
      </c>
      <c r="D119" s="634" t="s">
        <v>181</v>
      </c>
      <c r="E119" s="634" t="s">
        <v>149</v>
      </c>
      <c r="F119" s="634" t="s">
        <v>7</v>
      </c>
      <c r="G119" s="634" t="s">
        <v>8</v>
      </c>
      <c r="H119" s="634" t="s">
        <v>9</v>
      </c>
      <c r="I119" s="634" t="s">
        <v>182</v>
      </c>
      <c r="J119" s="635" t="s">
        <v>183</v>
      </c>
      <c r="K119" s="344"/>
      <c r="L119" s="1285" t="s">
        <v>18</v>
      </c>
      <c r="M119" s="1286"/>
      <c r="N119" s="345" t="e">
        <f>(N117^4)/((L88^4/Q88)+(L98^4/Q98)+(L103^4/Q103)+(L92^4/Q92)+(L115^4/Q115))</f>
        <v>#N/A</v>
      </c>
      <c r="O119" s="19"/>
      <c r="P119" s="19"/>
      <c r="Q119" s="19"/>
      <c r="R119" s="70"/>
      <c r="S119" s="104"/>
      <c r="U119" s="69"/>
      <c r="V119" s="69"/>
      <c r="W119" s="69"/>
    </row>
    <row r="120" spans="1:31" s="18" customFormat="1" ht="30" customHeight="1" thickBot="1" x14ac:dyDescent="0.3">
      <c r="A120" s="42"/>
      <c r="B120" s="623" t="s">
        <v>4</v>
      </c>
      <c r="C120" s="621" t="e">
        <f>H59</f>
        <v>#N/A</v>
      </c>
      <c r="D120" s="688" t="e">
        <f>N117</f>
        <v>#N/A</v>
      </c>
      <c r="E120" s="676"/>
      <c r="F120" s="631" t="e">
        <f>(D120*$E$121)</f>
        <v>#N/A</v>
      </c>
      <c r="G120" s="626"/>
      <c r="H120" s="671" t="e">
        <f>C120-C7</f>
        <v>#N/A</v>
      </c>
      <c r="I120" s="671" t="e">
        <f>ABS(H120)</f>
        <v>#N/A</v>
      </c>
      <c r="J120" s="346" t="e">
        <f>F120*I120</f>
        <v>#N/A</v>
      </c>
      <c r="K120" s="19"/>
      <c r="L120" s="19"/>
      <c r="M120" s="19"/>
      <c r="N120" s="19"/>
      <c r="O120" s="19"/>
      <c r="P120" s="19"/>
      <c r="Q120" s="19"/>
      <c r="R120" s="70"/>
      <c r="S120" s="104"/>
      <c r="U120" s="69"/>
      <c r="V120" s="69"/>
      <c r="W120" s="69"/>
    </row>
    <row r="121" spans="1:31" ht="30" customHeight="1" x14ac:dyDescent="0.25">
      <c r="A121" s="42"/>
      <c r="B121" s="623" t="s">
        <v>184</v>
      </c>
      <c r="C121" s="689" t="e">
        <f>C120/L29</f>
        <v>#N/A</v>
      </c>
      <c r="D121" s="629" t="e">
        <f>D120/L29</f>
        <v>#N/A</v>
      </c>
      <c r="E121" s="675" t="e">
        <f>M122</f>
        <v>#N/A</v>
      </c>
      <c r="F121" s="629" t="e">
        <f>D121*$E$121</f>
        <v>#N/A</v>
      </c>
      <c r="G121" s="625">
        <v>0.95</v>
      </c>
      <c r="H121" s="630" t="e">
        <f>H120/L29</f>
        <v>#N/A</v>
      </c>
      <c r="I121" s="630" t="e">
        <f>ABS(H121)</f>
        <v>#N/A</v>
      </c>
      <c r="J121" s="346" t="e">
        <f>F121*I121</f>
        <v>#N/A</v>
      </c>
      <c r="K121" s="347"/>
      <c r="M121" s="1295" t="s">
        <v>149</v>
      </c>
      <c r="N121" s="1296"/>
      <c r="Q121" s="19"/>
      <c r="R121" s="19"/>
      <c r="S121" s="104"/>
    </row>
    <row r="122" spans="1:31" ht="29.25" customHeight="1" thickBot="1" x14ac:dyDescent="0.3">
      <c r="A122" s="42"/>
      <c r="B122" s="623" t="s">
        <v>10</v>
      </c>
      <c r="C122" s="630" t="e">
        <f>C121/L26</f>
        <v>#N/A</v>
      </c>
      <c r="D122" s="690" t="e">
        <f>D121/L26</f>
        <v>#N/A</v>
      </c>
      <c r="E122" s="676"/>
      <c r="F122" s="632" t="e">
        <f>D122*$E$121</f>
        <v>#N/A</v>
      </c>
      <c r="G122" s="626"/>
      <c r="H122" s="630" t="e">
        <f>H121/L26</f>
        <v>#N/A</v>
      </c>
      <c r="I122" s="627" t="e">
        <f>ABS(H122)</f>
        <v>#N/A</v>
      </c>
      <c r="J122" s="628" t="e">
        <f>F122*I122</f>
        <v>#N/A</v>
      </c>
      <c r="K122" s="348"/>
      <c r="M122" s="349" t="e">
        <f>_xlfn.T.INV.2T(0.05,N119)</f>
        <v>#N/A</v>
      </c>
      <c r="N122" s="349" t="e">
        <f>TINV(0.05,N119)</f>
        <v>#N/A</v>
      </c>
      <c r="Q122" s="19"/>
      <c r="R122" s="19"/>
      <c r="S122" s="104"/>
    </row>
    <row r="123" spans="1:31" s="15" customFormat="1" ht="30" customHeight="1" thickBot="1" x14ac:dyDescent="0.3">
      <c r="A123" s="42"/>
      <c r="B123" s="624" t="s">
        <v>483</v>
      </c>
      <c r="C123" s="648" t="e">
        <f>(C122*100)/$M$26</f>
        <v>#N/A</v>
      </c>
      <c r="D123" s="648" t="e">
        <f>(D122*100)/$M$26</f>
        <v>#N/A</v>
      </c>
      <c r="E123" s="677"/>
      <c r="F123" s="648" t="e">
        <f t="shared" ref="F123:J123" si="12">(F122*100)/$M$26</f>
        <v>#N/A</v>
      </c>
      <c r="G123" s="649"/>
      <c r="H123" s="648" t="e">
        <f t="shared" si="12"/>
        <v>#N/A</v>
      </c>
      <c r="I123" s="648" t="e">
        <f t="shared" si="12"/>
        <v>#N/A</v>
      </c>
      <c r="J123" s="648" t="e">
        <f t="shared" si="12"/>
        <v>#N/A</v>
      </c>
      <c r="K123" s="234"/>
      <c r="L123" s="234"/>
      <c r="M123" s="234"/>
      <c r="N123" s="234"/>
      <c r="O123" s="234"/>
      <c r="P123" s="234"/>
      <c r="Q123" s="350"/>
      <c r="R123" s="350"/>
      <c r="S123" s="351"/>
      <c r="T123" s="352"/>
      <c r="U123" s="352"/>
      <c r="V123" s="352"/>
      <c r="W123" s="352"/>
      <c r="X123" s="352"/>
      <c r="Y123" s="352"/>
      <c r="Z123" s="352"/>
      <c r="AA123" s="352"/>
      <c r="AB123" s="13"/>
      <c r="AC123" s="13"/>
      <c r="AD123" s="13"/>
      <c r="AE123" s="13"/>
    </row>
    <row r="124" spans="1:31" ht="30" customHeight="1" x14ac:dyDescent="0.25">
      <c r="A124" s="42"/>
      <c r="B124" s="11"/>
      <c r="C124" s="11"/>
      <c r="D124" s="11"/>
      <c r="E124" s="11"/>
      <c r="F124" s="11"/>
      <c r="G124" s="11"/>
      <c r="H124" s="11"/>
      <c r="I124" s="11"/>
      <c r="J124" s="11"/>
    </row>
    <row r="125" spans="1:31" ht="30" customHeight="1" x14ac:dyDescent="0.25">
      <c r="A125" s="42"/>
    </row>
  </sheetData>
  <dataConsolidate/>
  <mergeCells count="140">
    <mergeCell ref="M121:N121"/>
    <mergeCell ref="B108:C108"/>
    <mergeCell ref="B109:C109"/>
    <mergeCell ref="B110:C110"/>
    <mergeCell ref="B112:Q112"/>
    <mergeCell ref="B113:D113"/>
    <mergeCell ref="B114:D114"/>
    <mergeCell ref="B115:D115"/>
    <mergeCell ref="B116:D116"/>
    <mergeCell ref="B117:D117"/>
    <mergeCell ref="B118:J118"/>
    <mergeCell ref="L118:M118"/>
    <mergeCell ref="E56:F56"/>
    <mergeCell ref="B67:E67"/>
    <mergeCell ref="B65:D65"/>
    <mergeCell ref="E57:F57"/>
    <mergeCell ref="E58:F58"/>
    <mergeCell ref="P64:P65"/>
    <mergeCell ref="E59:G59"/>
    <mergeCell ref="O56:O58"/>
    <mergeCell ref="L119:M119"/>
    <mergeCell ref="B102:C102"/>
    <mergeCell ref="B103:C103"/>
    <mergeCell ref="B104:C104"/>
    <mergeCell ref="B105:C105"/>
    <mergeCell ref="B106:C106"/>
    <mergeCell ref="B107:C107"/>
    <mergeCell ref="B96:C96"/>
    <mergeCell ref="B97:C97"/>
    <mergeCell ref="B98:C98"/>
    <mergeCell ref="B99:C99"/>
    <mergeCell ref="B100:C100"/>
    <mergeCell ref="B101:C101"/>
    <mergeCell ref="B90:D90"/>
    <mergeCell ref="B81:D81"/>
    <mergeCell ref="B86:C86"/>
    <mergeCell ref="B92:C92"/>
    <mergeCell ref="B94:C94"/>
    <mergeCell ref="B93:C93"/>
    <mergeCell ref="B87:C87"/>
    <mergeCell ref="E91:Q91"/>
    <mergeCell ref="B91:C91"/>
    <mergeCell ref="A88:A89"/>
    <mergeCell ref="B88:C88"/>
    <mergeCell ref="B89:C89"/>
    <mergeCell ref="B69:E69"/>
    <mergeCell ref="B71:F71"/>
    <mergeCell ref="B73:F73"/>
    <mergeCell ref="B75:F75"/>
    <mergeCell ref="B77:D77"/>
    <mergeCell ref="B85:Q85"/>
    <mergeCell ref="B83:F83"/>
    <mergeCell ref="E86:F86"/>
    <mergeCell ref="H86:I86"/>
    <mergeCell ref="J86:K86"/>
    <mergeCell ref="L86:M86"/>
    <mergeCell ref="B79:D79"/>
    <mergeCell ref="E60:G60"/>
    <mergeCell ref="E61:G61"/>
    <mergeCell ref="B63:L63"/>
    <mergeCell ref="N64:N65"/>
    <mergeCell ref="O64:O65"/>
    <mergeCell ref="K32:L32"/>
    <mergeCell ref="N32:O32"/>
    <mergeCell ref="P32:Q32"/>
    <mergeCell ref="I32:J32"/>
    <mergeCell ref="B38:C38"/>
    <mergeCell ref="B51:L51"/>
    <mergeCell ref="E52:L52"/>
    <mergeCell ref="I34:R34"/>
    <mergeCell ref="I37:J37"/>
    <mergeCell ref="I41:N41"/>
    <mergeCell ref="I36:J36"/>
    <mergeCell ref="M36:N36"/>
    <mergeCell ref="I38:J38"/>
    <mergeCell ref="C40:N40"/>
    <mergeCell ref="C41:G41"/>
    <mergeCell ref="O53:O55"/>
    <mergeCell ref="E53:F53"/>
    <mergeCell ref="E54:F54"/>
    <mergeCell ref="E55:F55"/>
    <mergeCell ref="O24:O25"/>
    <mergeCell ref="B23:G23"/>
    <mergeCell ref="D24:E24"/>
    <mergeCell ref="F24:G24"/>
    <mergeCell ref="B24:C24"/>
    <mergeCell ref="L24:L25"/>
    <mergeCell ref="M24:M25"/>
    <mergeCell ref="I23:Q23"/>
    <mergeCell ref="M18:M19"/>
    <mergeCell ref="P24:P25"/>
    <mergeCell ref="Q24:Q25"/>
    <mergeCell ref="A14:A16"/>
    <mergeCell ref="A18:A19"/>
    <mergeCell ref="C18:C19"/>
    <mergeCell ref="A11:A13"/>
    <mergeCell ref="A1:B1"/>
    <mergeCell ref="D1:R1"/>
    <mergeCell ref="A5:R5"/>
    <mergeCell ref="Q6:R6"/>
    <mergeCell ref="A8:A10"/>
    <mergeCell ref="I18:I19"/>
    <mergeCell ref="J18:J19"/>
    <mergeCell ref="K18:K19"/>
    <mergeCell ref="D18:D19"/>
    <mergeCell ref="E18:E19"/>
    <mergeCell ref="F18:F19"/>
    <mergeCell ref="G18:G19"/>
    <mergeCell ref="H18:H19"/>
    <mergeCell ref="D3:E3"/>
    <mergeCell ref="P18:P19"/>
    <mergeCell ref="O18:O19"/>
    <mergeCell ref="B18:B19"/>
    <mergeCell ref="J3:K3"/>
    <mergeCell ref="L18:L19"/>
    <mergeCell ref="N18:N19"/>
    <mergeCell ref="C48:F48"/>
    <mergeCell ref="J48:L48"/>
    <mergeCell ref="P40:S40"/>
    <mergeCell ref="S18:S19"/>
    <mergeCell ref="M37:N37"/>
    <mergeCell ref="M38:N38"/>
    <mergeCell ref="B25:C25"/>
    <mergeCell ref="B27:C27"/>
    <mergeCell ref="B28:C28"/>
    <mergeCell ref="B29:C29"/>
    <mergeCell ref="B30:C30"/>
    <mergeCell ref="B31:C31"/>
    <mergeCell ref="B36:C36"/>
    <mergeCell ref="B32:C32"/>
    <mergeCell ref="B33:C33"/>
    <mergeCell ref="B34:C34"/>
    <mergeCell ref="B35:C35"/>
    <mergeCell ref="D38:G38"/>
    <mergeCell ref="B26:C26"/>
    <mergeCell ref="I24:I25"/>
    <mergeCell ref="J24:J25"/>
    <mergeCell ref="K24:K25"/>
    <mergeCell ref="I35:L35"/>
    <mergeCell ref="M35:P35"/>
  </mergeCells>
  <conditionalFormatting sqref="Q53">
    <cfRule type="colorScale" priority="1">
      <colorScale>
        <cfvo type="min"/>
        <cfvo type="max"/>
        <color rgb="FFFF7128"/>
        <color rgb="FFFFEF9C"/>
      </colorScale>
    </cfRule>
    <cfRule type="cellIs" dxfId="2" priority="2" operator="lessThanOrEqual">
      <formula>$Q$29</formula>
    </cfRule>
  </conditionalFormatting>
  <pageMargins left="0.70866141732283472" right="0.70866141732283472" top="0.74803149606299213" bottom="0.74803149606299213" header="0.31496062992125984" footer="0.31496062992125984"/>
  <pageSetup scale="28" orientation="portrait" horizontalDpi="4294967293" r:id="rId1"/>
  <headerFooter>
    <oddFooter xml:space="preserve">&amp;RRT03-F11 Vr.3(2018-05-24)
</oddFooter>
  </headerFooter>
  <rowBreaks count="1" manualBreakCount="1">
    <brk id="61" max="18" man="1"/>
  </rowBreaks>
  <ignoredErrors>
    <ignoredError sqref="O26:Q26 O27:O29 P30:Q30 P27:Q29" evalError="1"/>
    <ignoredError sqref="Q57 Q54" evalError="1" unlockedFormula="1"/>
    <ignoredError sqref="P3"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DATOS!$B$14:$B$16</xm:f>
          </x14:formula1>
          <xm:sqref>H25</xm:sqref>
        </x14:dataValidation>
        <x14:dataValidation type="list" allowBlank="1" showInputMessage="1" showErrorMessage="1">
          <x14:formula1>
            <xm:f>DATOS!$D$7:$D$9</xm:f>
          </x14:formula1>
          <xm:sqref>S3</xm:sqref>
        </x14:dataValidation>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DATOS!$C$48:$C$51</xm:f>
          </x14:formula1>
          <xm:sqref>S14:S16</xm:sqref>
        </x14:dataValidation>
        <x14:dataValidation type="list" allowBlank="1" showInputMessage="1" showErrorMessage="1">
          <x14:formula1>
            <xm:f>DATOS!$C$71:$C$76</xm:f>
          </x14:formula1>
          <xm:sqref>S17</xm:sqref>
        </x14:dataValidation>
        <x14:dataValidation type="list" allowBlank="1" showInputMessage="1" showErrorMessage="1">
          <x14:formula1>
            <xm:f>DATOS!$C$80:$C$86</xm:f>
          </x14:formula1>
          <xm:sqref>S18:S19</xm:sqref>
        </x14:dataValidation>
        <x14:dataValidation type="list" allowBlank="1" showInputMessage="1" showErrorMessage="1">
          <x14:formula1>
            <xm:f>DATOS!$C$90:$C$91</xm:f>
          </x14:formula1>
          <xm:sqref>S20</xm:sqref>
        </x14:dataValidation>
        <x14:dataValidation type="list" allowBlank="1" showInputMessage="1" showErrorMessage="1">
          <x14:formula1>
            <xm:f>DATOS!$C$96:$C$111</xm:f>
          </x14:formula1>
          <xm:sqref>S21</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A25</xm:sqref>
        </x14:dataValidation>
        <x14:dataValidation type="list" allowBlank="1" showInputMessage="1" showErrorMessage="1">
          <x14:formula1>
            <xm:f>DATOS!$Q$8:$Q$12</xm:f>
          </x14:formula1>
          <xm:sqref>H38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4"/>
  <sheetViews>
    <sheetView showGridLines="0" view="pageBreakPreview" topLeftCell="E7" zoomScaleNormal="40" zoomScaleSheetLayoutView="100" workbookViewId="0">
      <selection activeCell="K107" sqref="K107:K110"/>
    </sheetView>
  </sheetViews>
  <sheetFormatPr baseColWidth="10" defaultRowHeight="14.25" x14ac:dyDescent="0.2"/>
  <cols>
    <col min="1" max="1" width="20.7109375" style="74" customWidth="1"/>
    <col min="2" max="2" width="18" style="74" customWidth="1"/>
    <col min="3" max="3" width="13" style="74" customWidth="1"/>
    <col min="4" max="4" width="15.28515625" style="74" customWidth="1"/>
    <col min="5" max="5" width="12.7109375" style="74" customWidth="1"/>
    <col min="6" max="7" width="11.5703125" style="74" customWidth="1"/>
    <col min="8" max="8" width="12.7109375" style="74" customWidth="1"/>
    <col min="9" max="9" width="11.5703125" style="74" customWidth="1"/>
    <col min="10" max="12" width="12.7109375" style="74" customWidth="1"/>
    <col min="13" max="13" width="11.5703125" style="74" customWidth="1"/>
    <col min="14" max="14" width="13.7109375" style="74" customWidth="1"/>
    <col min="15" max="15" width="21" style="74" customWidth="1"/>
    <col min="16" max="16" width="11.5703125" style="74" customWidth="1"/>
    <col min="17" max="17" width="13.5703125" style="74" customWidth="1"/>
    <col min="18" max="18" width="11.5703125" style="74" customWidth="1"/>
    <col min="19" max="16384" width="11.42578125" style="74"/>
  </cols>
  <sheetData>
    <row r="1" spans="1:19" s="11" customFormat="1" ht="75" customHeight="1" thickBot="1" x14ac:dyDescent="0.3">
      <c r="A1" s="1201"/>
      <c r="B1" s="1202"/>
      <c r="C1" s="10"/>
      <c r="D1" s="1370" t="s">
        <v>515</v>
      </c>
      <c r="E1" s="1371"/>
      <c r="F1" s="1371"/>
      <c r="G1" s="1371"/>
      <c r="H1" s="1371"/>
      <c r="I1" s="1371"/>
      <c r="J1" s="1371"/>
      <c r="K1" s="1371"/>
      <c r="L1" s="1371"/>
      <c r="M1" s="1371"/>
      <c r="N1" s="1371"/>
      <c r="O1" s="1371"/>
      <c r="P1" s="1371"/>
      <c r="Q1" s="1371"/>
      <c r="R1" s="1372"/>
    </row>
    <row r="2" spans="1:19" s="15" customFormat="1" ht="5.0999999999999996" customHeight="1" thickBot="1" x14ac:dyDescent="0.3">
      <c r="A2" s="12"/>
      <c r="B2" s="12"/>
      <c r="C2" s="13"/>
      <c r="D2" s="14"/>
      <c r="E2" s="14"/>
      <c r="F2" s="14"/>
      <c r="G2" s="14"/>
      <c r="H2" s="14"/>
      <c r="I2" s="14"/>
      <c r="J2" s="14"/>
      <c r="K2" s="14"/>
      <c r="L2" s="14"/>
      <c r="M2" s="14"/>
      <c r="N2" s="14"/>
      <c r="O2" s="14"/>
      <c r="P2" s="14"/>
      <c r="Q2" s="14"/>
      <c r="R2" s="14"/>
    </row>
    <row r="3" spans="1:19" s="16" customFormat="1" ht="30" customHeight="1" thickBot="1" x14ac:dyDescent="0.3">
      <c r="A3" s="108" t="s">
        <v>70</v>
      </c>
      <c r="B3" s="371" t="e">
        <f>VLOOKUP($S43,DATOS!$D$7:$L$9,2,FALSE)</f>
        <v>#N/A</v>
      </c>
      <c r="C3" s="109" t="s">
        <v>261</v>
      </c>
      <c r="D3" s="1373" t="e">
        <f>VLOOKUP($S$3,DATOS!$D$7:$L$9,3,FALSE)</f>
        <v>#N/A</v>
      </c>
      <c r="E3" s="1374"/>
      <c r="F3" s="110" t="s">
        <v>263</v>
      </c>
      <c r="G3" s="1375" t="e">
        <f>VLOOKUP($S$3,DATOS!$D$7:$L$9,8,FALSE)</f>
        <v>#N/A</v>
      </c>
      <c r="H3" s="1375"/>
      <c r="I3" s="110" t="s">
        <v>262</v>
      </c>
      <c r="J3" s="1376" t="e">
        <f>VLOOKUP($S$3,DATOS!$D$7:$L$9,6,FALSE)</f>
        <v>#N/A</v>
      </c>
      <c r="K3" s="1376"/>
      <c r="L3" s="110" t="s">
        <v>32</v>
      </c>
      <c r="M3" s="1375" t="e">
        <f>VLOOKUP($S$3,DATOS!$D$7:$L$9,7,FALSE)</f>
        <v>#N/A</v>
      </c>
      <c r="N3" s="1375"/>
      <c r="O3" s="110" t="s">
        <v>264</v>
      </c>
      <c r="P3" s="1375" t="e">
        <f>VLOOKUP($S$3,DATOS!$D$7:$L$9,9,FALSE)</f>
        <v>#N/A</v>
      </c>
      <c r="Q3" s="1375"/>
      <c r="R3" s="1377"/>
      <c r="S3" s="370"/>
    </row>
    <row r="4" spans="1:19" s="16" customFormat="1" ht="5.0999999999999996" customHeight="1" thickBot="1" x14ac:dyDescent="0.3"/>
    <row r="5" spans="1:19" s="16" customFormat="1" ht="30" customHeight="1" thickBot="1" x14ac:dyDescent="0.3">
      <c r="A5" s="1206" t="s">
        <v>97</v>
      </c>
      <c r="B5" s="1207"/>
      <c r="C5" s="1207"/>
      <c r="D5" s="1207"/>
      <c r="E5" s="1207"/>
      <c r="F5" s="1207"/>
      <c r="G5" s="1207"/>
      <c r="H5" s="1207"/>
      <c r="I5" s="1207"/>
      <c r="J5" s="1207"/>
      <c r="K5" s="1207"/>
      <c r="L5" s="1207"/>
      <c r="M5" s="1207"/>
      <c r="N5" s="1207"/>
      <c r="O5" s="1207"/>
      <c r="P5" s="1207"/>
      <c r="Q5" s="1207"/>
      <c r="R5" s="1208"/>
    </row>
    <row r="6" spans="1:19" s="11" customFormat="1" ht="50.1" customHeight="1" thickBot="1" x14ac:dyDescent="0.3">
      <c r="A6" s="372" t="s">
        <v>15</v>
      </c>
      <c r="B6" s="373" t="s">
        <v>245</v>
      </c>
      <c r="C6" s="373" t="s">
        <v>247</v>
      </c>
      <c r="D6" s="373" t="s">
        <v>98</v>
      </c>
      <c r="E6" s="373" t="s">
        <v>244</v>
      </c>
      <c r="F6" s="373" t="s">
        <v>98</v>
      </c>
      <c r="G6" s="373" t="s">
        <v>246</v>
      </c>
      <c r="H6" s="373" t="s">
        <v>98</v>
      </c>
      <c r="I6" s="373" t="s">
        <v>241</v>
      </c>
      <c r="J6" s="373" t="s">
        <v>98</v>
      </c>
      <c r="K6" s="374" t="s">
        <v>99</v>
      </c>
      <c r="L6" s="373" t="s">
        <v>98</v>
      </c>
      <c r="M6" s="373" t="s">
        <v>242</v>
      </c>
      <c r="N6" s="373" t="s">
        <v>98</v>
      </c>
      <c r="O6" s="373" t="s">
        <v>249</v>
      </c>
      <c r="P6" s="373" t="s">
        <v>243</v>
      </c>
      <c r="Q6" s="1335" t="s">
        <v>272</v>
      </c>
      <c r="R6" s="1336"/>
    </row>
    <row r="7" spans="1:19" s="11" customFormat="1" ht="29.25" customHeight="1" thickBot="1" x14ac:dyDescent="0.3">
      <c r="A7" s="162" t="s">
        <v>1</v>
      </c>
      <c r="B7" s="163" t="e">
        <f>VLOOKUP(S7,DATOS!C31:K33,3,FALSE)</f>
        <v>#N/A</v>
      </c>
      <c r="C7" s="164" t="e">
        <f>VLOOKUP(S7,DATOS!C31:K33,4,FALSE)</f>
        <v>#N/A</v>
      </c>
      <c r="D7" s="165" t="s">
        <v>4</v>
      </c>
      <c r="E7" s="166" t="e">
        <f>VLOOKUP(S7,DATOS!C31:K33,5,FALSE)</f>
        <v>#N/A</v>
      </c>
      <c r="F7" s="165" t="s">
        <v>4</v>
      </c>
      <c r="G7" s="164" t="e">
        <f>VLOOKUP(S7,DATOS!C31:K33,6,FALSE)</f>
        <v>#N/A</v>
      </c>
      <c r="H7" s="165" t="s">
        <v>100</v>
      </c>
      <c r="I7" s="166" t="e">
        <f>VLOOKUP(S7,DATOS!C31:K33,7,FALSE)</f>
        <v>#N/A</v>
      </c>
      <c r="J7" s="165" t="s">
        <v>4</v>
      </c>
      <c r="K7" s="167" t="e">
        <f>(0+I7/2)/SQRT(12)</f>
        <v>#N/A</v>
      </c>
      <c r="L7" s="165" t="s">
        <v>4</v>
      </c>
      <c r="M7" s="168">
        <v>0</v>
      </c>
      <c r="N7" s="165" t="s">
        <v>4</v>
      </c>
      <c r="O7" s="166" t="e">
        <f>VLOOKUP(S7,DATOS!C31:K33,8,FALSE)</f>
        <v>#N/A</v>
      </c>
      <c r="P7" s="163" t="e">
        <f>VLOOKUP(S7,DATOS!C31:K33,9,FALSE)</f>
        <v>#N/A</v>
      </c>
      <c r="Q7" s="169"/>
      <c r="R7" s="375"/>
      <c r="S7" s="420"/>
    </row>
    <row r="8" spans="1:19" s="11" customFormat="1" ht="30" customHeight="1" x14ac:dyDescent="0.25">
      <c r="A8" s="1196" t="s">
        <v>101</v>
      </c>
      <c r="B8" s="180" t="e">
        <f>VLOOKUP(S8,DATOS!$C$37:$K$44,3,FALSE)</f>
        <v>#N/A</v>
      </c>
      <c r="C8" s="171" t="e">
        <f>VLOOKUP(S8,DATOS!$C$37:$K$44,4,FALSE)</f>
        <v>#N/A</v>
      </c>
      <c r="D8" s="172" t="s">
        <v>3</v>
      </c>
      <c r="E8" s="171" t="e">
        <f>VLOOKUP(S8,DATOS!$C$37:$K$44,5,FALSE)</f>
        <v>#N/A</v>
      </c>
      <c r="F8" s="173" t="s">
        <v>3</v>
      </c>
      <c r="G8" s="171" t="e">
        <f>VLOOKUP(S8,DATOS!$C$37:$K$44,6,FALSE)</f>
        <v>#N/A</v>
      </c>
      <c r="H8" s="173" t="s">
        <v>3</v>
      </c>
      <c r="I8" s="171" t="e">
        <f>VLOOKUP(S8,DATOS!$C$37:$K$44,7,FALSE)</f>
        <v>#N/A</v>
      </c>
      <c r="J8" s="173" t="s">
        <v>3</v>
      </c>
      <c r="K8" s="174" t="e">
        <f>(I8/2)/SQRT(12)</f>
        <v>#N/A</v>
      </c>
      <c r="L8" s="173" t="s">
        <v>3</v>
      </c>
      <c r="M8" s="175">
        <v>0</v>
      </c>
      <c r="N8" s="173" t="s">
        <v>3</v>
      </c>
      <c r="O8" s="176" t="e">
        <f>VLOOKUP(S8,DATOS!$C$37:$K$44,8,FALSE)</f>
        <v>#N/A</v>
      </c>
      <c r="P8" s="177" t="e">
        <f>VLOOKUP(S8,DATOS!$C$37:$K$44,9,FALSE)</f>
        <v>#N/A</v>
      </c>
      <c r="Q8" s="17"/>
      <c r="R8" s="376"/>
      <c r="S8" s="367"/>
    </row>
    <row r="9" spans="1:19" s="11" customFormat="1" ht="30" customHeight="1" x14ac:dyDescent="0.25">
      <c r="A9" s="1197"/>
      <c r="B9" s="180" t="e">
        <f>VLOOKUP(S9,DATOS!$C$37:$K$44,3,FALSE)</f>
        <v>#N/A</v>
      </c>
      <c r="C9" s="171" t="e">
        <f>VLOOKUP(S9,DATOS!$C$37:$K$44,4,FALSE)</f>
        <v>#N/A</v>
      </c>
      <c r="D9" s="172" t="s">
        <v>3</v>
      </c>
      <c r="E9" s="171" t="e">
        <f>VLOOKUP(S9,DATOS!$C$37:$K$44,5,FALSE)</f>
        <v>#N/A</v>
      </c>
      <c r="F9" s="173" t="s">
        <v>3</v>
      </c>
      <c r="G9" s="171" t="e">
        <f>VLOOKUP(S9,DATOS!$C$37:$K$44,6,FALSE)</f>
        <v>#N/A</v>
      </c>
      <c r="H9" s="173" t="s">
        <v>3</v>
      </c>
      <c r="I9" s="171" t="e">
        <f>VLOOKUP(S9,DATOS!$C$37:$K$44,7,FALSE)</f>
        <v>#N/A</v>
      </c>
      <c r="J9" s="173" t="s">
        <v>3</v>
      </c>
      <c r="K9" s="174" t="e">
        <f t="shared" ref="K9:K21" si="0">(I9/2)/SQRT(12)</f>
        <v>#N/A</v>
      </c>
      <c r="L9" s="173" t="s">
        <v>3</v>
      </c>
      <c r="M9" s="175">
        <v>0</v>
      </c>
      <c r="N9" s="173" t="s">
        <v>3</v>
      </c>
      <c r="O9" s="176" t="e">
        <f>VLOOKUP(S9,DATOS!$C$37:$K$44,8,FALSE)</f>
        <v>#N/A</v>
      </c>
      <c r="P9" s="177" t="e">
        <f>VLOOKUP(S9,DATOS!$C$37:$K$44,9,FALSE)</f>
        <v>#N/A</v>
      </c>
      <c r="Q9" s="178"/>
      <c r="R9" s="376"/>
      <c r="S9" s="368"/>
    </row>
    <row r="10" spans="1:19" s="11" customFormat="1" ht="30" customHeight="1" thickBot="1" x14ac:dyDescent="0.3">
      <c r="A10" s="1198"/>
      <c r="B10" s="180" t="e">
        <f>VLOOKUP(S10,DATOS!$C$37:$K$44,3,FALSE)</f>
        <v>#N/A</v>
      </c>
      <c r="C10" s="171" t="e">
        <f>VLOOKUP(S10,DATOS!$C$37:$K$44,4,FALSE)</f>
        <v>#N/A</v>
      </c>
      <c r="D10" s="172" t="s">
        <v>3</v>
      </c>
      <c r="E10" s="171" t="e">
        <f>VLOOKUP(S10,DATOS!$C$37:$K$44,5,FALSE)</f>
        <v>#N/A</v>
      </c>
      <c r="F10" s="173" t="s">
        <v>328</v>
      </c>
      <c r="G10" s="171" t="e">
        <f>VLOOKUP(S10,DATOS!$C$37:$K$44,6,FALSE)</f>
        <v>#N/A</v>
      </c>
      <c r="H10" s="173" t="s">
        <v>3</v>
      </c>
      <c r="I10" s="171" t="e">
        <f>VLOOKUP(S10,DATOS!$C$37:$K$44,7,FALSE)</f>
        <v>#N/A</v>
      </c>
      <c r="J10" s="173" t="s">
        <v>3</v>
      </c>
      <c r="K10" s="174" t="e">
        <f t="shared" si="0"/>
        <v>#N/A</v>
      </c>
      <c r="L10" s="173" t="s">
        <v>3</v>
      </c>
      <c r="M10" s="175">
        <v>0</v>
      </c>
      <c r="N10" s="173" t="s">
        <v>3</v>
      </c>
      <c r="O10" s="176" t="e">
        <f>VLOOKUP(S10,DATOS!$C$37:$K$44,8,FALSE)</f>
        <v>#N/A</v>
      </c>
      <c r="P10" s="177" t="e">
        <f>VLOOKUP(S10,DATOS!$C$37:$K$44,9,FALSE)</f>
        <v>#N/A</v>
      </c>
      <c r="Q10" s="178"/>
      <c r="R10" s="376"/>
      <c r="S10" s="369"/>
    </row>
    <row r="11" spans="1:19" s="15" customFormat="1" ht="30" customHeight="1" x14ac:dyDescent="0.25">
      <c r="A11" s="1196" t="s">
        <v>102</v>
      </c>
      <c r="B11" s="180" t="e">
        <f>VLOOKUP(S11,DATOS!$C$37:$K$44,3,FALSE)</f>
        <v>#N/A</v>
      </c>
      <c r="C11" s="171" t="e">
        <f>VLOOKUP(S11,DATOS!$C$37:$K$44,4,FALSE)</f>
        <v>#N/A</v>
      </c>
      <c r="D11" s="172" t="s">
        <v>3</v>
      </c>
      <c r="E11" s="171" t="e">
        <f>VLOOKUP(S11,DATOS!$C$37:$K$44,5,FALSE)</f>
        <v>#N/A</v>
      </c>
      <c r="F11" s="173" t="s">
        <v>3</v>
      </c>
      <c r="G11" s="171" t="e">
        <f>VLOOKUP(S11,DATOS!$C$37:$K$44,6,FALSE)</f>
        <v>#N/A</v>
      </c>
      <c r="H11" s="173" t="s">
        <v>3</v>
      </c>
      <c r="I11" s="171" t="e">
        <f>VLOOKUP(S11,DATOS!$C$37:$K$44,7,FALSE)</f>
        <v>#N/A</v>
      </c>
      <c r="J11" s="173" t="s">
        <v>3</v>
      </c>
      <c r="K11" s="174" t="e">
        <f>(I11/2)/SQRT(12)</f>
        <v>#N/A</v>
      </c>
      <c r="L11" s="173" t="s">
        <v>3</v>
      </c>
      <c r="M11" s="175">
        <v>0</v>
      </c>
      <c r="N11" s="173" t="s">
        <v>3</v>
      </c>
      <c r="O11" s="176" t="e">
        <f>VLOOKUP(S11,DATOS!$C$37:$K$44,8,FALSE)</f>
        <v>#N/A</v>
      </c>
      <c r="P11" s="177" t="e">
        <f>VLOOKUP(S11,DATOS!$C$37:$K$44,9,FALSE)</f>
        <v>#N/A</v>
      </c>
      <c r="Q11" s="178"/>
      <c r="R11" s="376"/>
      <c r="S11" s="367"/>
    </row>
    <row r="12" spans="1:19" s="15" customFormat="1" ht="30" customHeight="1" x14ac:dyDescent="0.25">
      <c r="A12" s="1197"/>
      <c r="B12" s="180" t="e">
        <f>VLOOKUP(S12,DATOS!$C$37:$K$44,3,FALSE)</f>
        <v>#N/A</v>
      </c>
      <c r="C12" s="171" t="e">
        <f>VLOOKUP(S12,DATOS!$C$37:$K$44,4,FALSE)</f>
        <v>#N/A</v>
      </c>
      <c r="D12" s="172" t="s">
        <v>3</v>
      </c>
      <c r="E12" s="171" t="e">
        <f>VLOOKUP(S12,DATOS!$C$37:$K$44,5,FALSE)</f>
        <v>#N/A</v>
      </c>
      <c r="F12" s="173" t="s">
        <v>3</v>
      </c>
      <c r="G12" s="171" t="e">
        <f>VLOOKUP(S12,DATOS!$C$37:$K$44,6,FALSE)</f>
        <v>#N/A</v>
      </c>
      <c r="H12" s="173" t="s">
        <v>3</v>
      </c>
      <c r="I12" s="171" t="e">
        <f>VLOOKUP(S12,DATOS!$C$37:$K$44,7,FALSE)</f>
        <v>#N/A</v>
      </c>
      <c r="J12" s="173" t="s">
        <v>3</v>
      </c>
      <c r="K12" s="174" t="e">
        <f t="shared" ref="K12:K13" si="1">(I12/2)/SQRT(12)</f>
        <v>#N/A</v>
      </c>
      <c r="L12" s="173" t="s">
        <v>3</v>
      </c>
      <c r="M12" s="175">
        <v>0</v>
      </c>
      <c r="N12" s="173" t="s">
        <v>3</v>
      </c>
      <c r="O12" s="176" t="e">
        <f>VLOOKUP(S12,DATOS!$C$37:$K$44,8,FALSE)</f>
        <v>#N/A</v>
      </c>
      <c r="P12" s="177" t="e">
        <f>VLOOKUP(S12,DATOS!$C$37:$K$44,9,FALSE)</f>
        <v>#N/A</v>
      </c>
      <c r="Q12" s="178"/>
      <c r="R12" s="376"/>
      <c r="S12" s="368"/>
    </row>
    <row r="13" spans="1:19" s="15" customFormat="1" ht="30" customHeight="1" thickBot="1" x14ac:dyDescent="0.3">
      <c r="A13" s="1198"/>
      <c r="B13" s="180" t="e">
        <f>VLOOKUP(S13,DATOS!$C$37:$K$44,3,FALSE)</f>
        <v>#N/A</v>
      </c>
      <c r="C13" s="171" t="e">
        <f>VLOOKUP(S13,DATOS!$C$37:$K$44,4,FALSE)</f>
        <v>#N/A</v>
      </c>
      <c r="D13" s="172" t="s">
        <v>3</v>
      </c>
      <c r="E13" s="171" t="e">
        <f>VLOOKUP(S13,DATOS!$C$37:$K$44,5,FALSE)</f>
        <v>#N/A</v>
      </c>
      <c r="F13" s="173" t="s">
        <v>3</v>
      </c>
      <c r="G13" s="171" t="e">
        <f>VLOOKUP(S13,DATOS!$C$37:$K$44,6,FALSE)</f>
        <v>#N/A</v>
      </c>
      <c r="H13" s="173" t="s">
        <v>3</v>
      </c>
      <c r="I13" s="171" t="e">
        <f>VLOOKUP(S13,DATOS!$C$37:$K$44,7,FALSE)</f>
        <v>#N/A</v>
      </c>
      <c r="J13" s="173" t="s">
        <v>3</v>
      </c>
      <c r="K13" s="174" t="e">
        <f t="shared" si="1"/>
        <v>#N/A</v>
      </c>
      <c r="L13" s="173" t="s">
        <v>3</v>
      </c>
      <c r="M13" s="175">
        <v>0</v>
      </c>
      <c r="N13" s="173" t="s">
        <v>3</v>
      </c>
      <c r="O13" s="176" t="e">
        <f>VLOOKUP(S13,DATOS!$C$37:$K$44,8,FALSE)</f>
        <v>#N/A</v>
      </c>
      <c r="P13" s="177" t="e">
        <f>VLOOKUP(S13,DATOS!$C$37:$K$44,9,FALSE)</f>
        <v>#N/A</v>
      </c>
      <c r="Q13" s="178"/>
      <c r="R13" s="376"/>
      <c r="S13" s="369"/>
    </row>
    <row r="14" spans="1:19" s="15" customFormat="1" ht="30" customHeight="1" x14ac:dyDescent="0.25">
      <c r="A14" s="1196" t="s">
        <v>248</v>
      </c>
      <c r="B14" s="180" t="e">
        <f>VLOOKUP(S14,DATOS!$C$48:$K$51,3,FALSE)</f>
        <v>#N/A</v>
      </c>
      <c r="C14" s="181" t="e">
        <f>VLOOKUP(S14,DATOS!$C$48:$K$51,4,FALSE)</f>
        <v>#N/A</v>
      </c>
      <c r="D14" s="172" t="s">
        <v>3</v>
      </c>
      <c r="E14" s="181" t="e">
        <f>VLOOKUP(S14,DATOS!$C$48:$K$51,5,FALSE)</f>
        <v>#N/A</v>
      </c>
      <c r="F14" s="173" t="s">
        <v>3</v>
      </c>
      <c r="G14" s="181" t="e">
        <f>VLOOKUP(S14,DATOS!$C$48:$K$51,6,FALSE)</f>
        <v>#N/A</v>
      </c>
      <c r="H14" s="172" t="s">
        <v>3</v>
      </c>
      <c r="I14" s="181" t="e">
        <f>VLOOKUP(S14,DATOS!$C$48:$K$51,7,FALSE)</f>
        <v>#N/A</v>
      </c>
      <c r="J14" s="377" t="s">
        <v>3</v>
      </c>
      <c r="K14" s="174" t="e">
        <f t="shared" si="0"/>
        <v>#N/A</v>
      </c>
      <c r="L14" s="172" t="s">
        <v>3</v>
      </c>
      <c r="M14" s="175">
        <v>0</v>
      </c>
      <c r="N14" s="172" t="s">
        <v>3</v>
      </c>
      <c r="O14" s="176" t="e">
        <f>VLOOKUP(S14,DATOS!$C$48:$K$51,8,FALSE)</f>
        <v>#N/A</v>
      </c>
      <c r="P14" s="177" t="e">
        <f>VLOOKUP(S14,DATOS!$C$48:$K$51,9,FALSE)</f>
        <v>#N/A</v>
      </c>
      <c r="Q14" s="182"/>
      <c r="R14" s="378"/>
      <c r="S14" s="367"/>
    </row>
    <row r="15" spans="1:19" s="11" customFormat="1" ht="29.25" customHeight="1" x14ac:dyDescent="0.25">
      <c r="A15" s="1197"/>
      <c r="B15" s="180" t="e">
        <f>VLOOKUP(S15,DATOS!$C$48:$K$51,3,FALSE)</f>
        <v>#N/A</v>
      </c>
      <c r="C15" s="181" t="e">
        <f>VLOOKUP(S15,DATOS!$C$48:$K$51,4,FALSE)</f>
        <v>#N/A</v>
      </c>
      <c r="D15" s="172" t="s">
        <v>225</v>
      </c>
      <c r="E15" s="181" t="e">
        <f>VLOOKUP(S15,DATOS!$C$48:$K$51,5,FALSE)</f>
        <v>#N/A</v>
      </c>
      <c r="F15" s="172" t="s">
        <v>225</v>
      </c>
      <c r="G15" s="181" t="e">
        <f>VLOOKUP(S15,DATOS!$C$48:$K$51,6,FALSE)</f>
        <v>#N/A</v>
      </c>
      <c r="H15" s="172" t="s">
        <v>225</v>
      </c>
      <c r="I15" s="181" t="e">
        <f>VLOOKUP(S15,DATOS!$C$48:$K$51,7,FALSE)</f>
        <v>#N/A</v>
      </c>
      <c r="J15" s="379" t="s">
        <v>225</v>
      </c>
      <c r="K15" s="174" t="e">
        <f t="shared" si="0"/>
        <v>#N/A</v>
      </c>
      <c r="L15" s="172" t="s">
        <v>225</v>
      </c>
      <c r="M15" s="175">
        <v>0</v>
      </c>
      <c r="N15" s="172" t="s">
        <v>225</v>
      </c>
      <c r="O15" s="176" t="e">
        <f>VLOOKUP(S15,DATOS!$C$48:$K$51,8,FALSE)</f>
        <v>#N/A</v>
      </c>
      <c r="P15" s="177" t="e">
        <f>VLOOKUP(S15,DATOS!$C$48:$K$51,9,FALSE)</f>
        <v>#N/A</v>
      </c>
      <c r="Q15" s="182"/>
      <c r="R15" s="378"/>
      <c r="S15" s="368"/>
    </row>
    <row r="16" spans="1:19" s="15" customFormat="1" ht="30" customHeight="1" thickBot="1" x14ac:dyDescent="0.3">
      <c r="A16" s="1198"/>
      <c r="B16" s="180" t="e">
        <f>VLOOKUP(S16,DATOS!$C$48:$K$51,3,FALSE)</f>
        <v>#N/A</v>
      </c>
      <c r="C16" s="181" t="e">
        <f>VLOOKUP(S16,DATOS!$C$48:$K$51,4,FALSE)</f>
        <v>#N/A</v>
      </c>
      <c r="D16" s="172" t="s">
        <v>17</v>
      </c>
      <c r="E16" s="181" t="e">
        <f>VLOOKUP(S16,DATOS!$C$48:$K$51,5,FALSE)</f>
        <v>#N/A</v>
      </c>
      <c r="F16" s="172" t="s">
        <v>17</v>
      </c>
      <c r="G16" s="181" t="e">
        <f>VLOOKUP(S16,DATOS!$C$48:$K$51,6,FALSE)</f>
        <v>#N/A</v>
      </c>
      <c r="H16" s="172" t="s">
        <v>17</v>
      </c>
      <c r="I16" s="181" t="e">
        <f>VLOOKUP(S16,DATOS!$C$48:$K$51,7,FALSE)</f>
        <v>#N/A</v>
      </c>
      <c r="J16" s="380" t="s">
        <v>17</v>
      </c>
      <c r="K16" s="174" t="e">
        <f t="shared" si="0"/>
        <v>#N/A</v>
      </c>
      <c r="L16" s="172" t="s">
        <v>17</v>
      </c>
      <c r="M16" s="175">
        <v>0</v>
      </c>
      <c r="N16" s="172" t="s">
        <v>17</v>
      </c>
      <c r="O16" s="176" t="e">
        <f>VLOOKUP(S16,DATOS!$C$48:$K$51,8,FALSE)</f>
        <v>#N/A</v>
      </c>
      <c r="P16" s="177" t="e">
        <f>VLOOKUP(S16,DATOS!$C$48:$K$51,9,FALSE)</f>
        <v>#N/A</v>
      </c>
      <c r="Q16" s="182"/>
      <c r="R16" s="378"/>
      <c r="S16" s="369"/>
    </row>
    <row r="17" spans="1:19" s="15" customFormat="1" ht="30" customHeight="1" thickBot="1" x14ac:dyDescent="0.3">
      <c r="A17" s="183" t="s">
        <v>254</v>
      </c>
      <c r="B17" s="176" t="e">
        <f>VLOOKUP(S17,DATOS!$C$71:$K$76,3,FALSE)</f>
        <v>#N/A</v>
      </c>
      <c r="C17" s="179" t="e">
        <f>VLOOKUP(S17,DATOS!$C$71:$K$76,4,FALSE)</f>
        <v>#N/A</v>
      </c>
      <c r="D17" s="172" t="s">
        <v>4</v>
      </c>
      <c r="E17" s="179" t="e">
        <f>VLOOKUP(S17,DATOS!$C$71:$K$76,5,FALSE)</f>
        <v>#N/A</v>
      </c>
      <c r="F17" s="172" t="s">
        <v>4</v>
      </c>
      <c r="G17" s="179" t="e">
        <f>VLOOKUP(S17,DATOS!$C$71:$K$76,6,FALSE)</f>
        <v>#N/A</v>
      </c>
      <c r="H17" s="172" t="s">
        <v>4</v>
      </c>
      <c r="I17" s="179" t="e">
        <f>VLOOKUP(S17,DATOS!$C$71:$K$76,7,FALSE)</f>
        <v>#N/A</v>
      </c>
      <c r="J17" s="379" t="s">
        <v>4</v>
      </c>
      <c r="K17" s="174" t="e">
        <f>(I17/2)/SQRT(12)</f>
        <v>#N/A</v>
      </c>
      <c r="L17" s="172" t="s">
        <v>4</v>
      </c>
      <c r="M17" s="175">
        <v>0</v>
      </c>
      <c r="N17" s="172" t="s">
        <v>4</v>
      </c>
      <c r="O17" s="176" t="e">
        <f>VLOOKUP(S17,DATOS!$C$71:$K$76,8,FALSE)</f>
        <v>#N/A</v>
      </c>
      <c r="P17" s="176" t="e">
        <f>VLOOKUP(S17,DATOS!$C$71:$K$76,9,FALSE)</f>
        <v>#N/A</v>
      </c>
      <c r="Q17" s="182"/>
      <c r="R17" s="378"/>
      <c r="S17" s="420"/>
    </row>
    <row r="18" spans="1:19" s="18" customFormat="1" ht="30" customHeight="1" x14ac:dyDescent="0.25">
      <c r="A18" s="183" t="s">
        <v>255</v>
      </c>
      <c r="B18" s="1216" t="e">
        <f>VLOOKUP(S18,DATOS!$C$80:$K$86,3,FALSE)</f>
        <v>#N/A</v>
      </c>
      <c r="C18" s="1216" t="e">
        <f>VLOOKUP(S18,DATOS!$C$80:$K$86,4,FALSE)</f>
        <v>#N/A</v>
      </c>
      <c r="D18" s="1331" t="s">
        <v>4</v>
      </c>
      <c r="E18" s="1216" t="e">
        <f>VLOOKUP(S18,DATOS!$C$80:$K$86,5,FALSE)</f>
        <v>#N/A</v>
      </c>
      <c r="F18" s="1331" t="s">
        <v>4</v>
      </c>
      <c r="G18" s="1199" t="e">
        <f>VLOOKUP(S18,DATOS!$C$80:$K$86,6,FALSE)</f>
        <v>#N/A</v>
      </c>
      <c r="H18" s="1331" t="s">
        <v>4</v>
      </c>
      <c r="I18" s="1216" t="e">
        <f>VLOOKUP(S18,DATOS!$C$80:$K$86,7,FALSE)</f>
        <v>#N/A</v>
      </c>
      <c r="J18" s="1331" t="s">
        <v>4</v>
      </c>
      <c r="K18" s="1215" t="e">
        <f t="shared" si="0"/>
        <v>#N/A</v>
      </c>
      <c r="L18" s="1329" t="s">
        <v>4</v>
      </c>
      <c r="M18" s="381">
        <v>0</v>
      </c>
      <c r="N18" s="1329" t="s">
        <v>4</v>
      </c>
      <c r="O18" s="1216" t="e">
        <f>VLOOKUP(S18,DATOS!$C$80:$K$86,8,FALSE)</f>
        <v>#N/A</v>
      </c>
      <c r="P18" s="1220" t="e">
        <f>VLOOKUP(S18,DATOS!$C$80:$K$86,9,FALSE)</f>
        <v>#N/A</v>
      </c>
      <c r="Q18" s="413"/>
      <c r="R18" s="414"/>
      <c r="S18" s="1327"/>
    </row>
    <row r="19" spans="1:19" s="11" customFormat="1" ht="30" customHeight="1" thickBot="1" x14ac:dyDescent="0.3">
      <c r="A19" s="382"/>
      <c r="B19" s="1217"/>
      <c r="C19" s="1217"/>
      <c r="D19" s="1332"/>
      <c r="E19" s="1217"/>
      <c r="F19" s="1332"/>
      <c r="G19" s="1200"/>
      <c r="H19" s="1332"/>
      <c r="I19" s="1217"/>
      <c r="J19" s="1332"/>
      <c r="K19" s="1215"/>
      <c r="L19" s="1330"/>
      <c r="M19" s="383"/>
      <c r="N19" s="1330"/>
      <c r="O19" s="1217"/>
      <c r="P19" s="1221"/>
      <c r="Q19" s="415"/>
      <c r="R19" s="414"/>
      <c r="S19" s="1328"/>
    </row>
    <row r="20" spans="1:19" s="19" customFormat="1" ht="27.75" customHeight="1" thickBot="1" x14ac:dyDescent="0.3">
      <c r="A20" s="184" t="s">
        <v>103</v>
      </c>
      <c r="B20" s="176" t="e">
        <f>VLOOKUP(S20,DATOS!$C$90:$K$91,3,FALSE)</f>
        <v>#N/A</v>
      </c>
      <c r="C20" s="176" t="e">
        <f>VLOOKUP(S20,DATOS!$C$90:$K$91,4,FALSE)</f>
        <v>#N/A</v>
      </c>
      <c r="D20" s="172" t="s">
        <v>252</v>
      </c>
      <c r="E20" s="176" t="e">
        <f>VLOOKUP(S20,DATOS!$C$90:$K$91,5,FALSE)</f>
        <v>#N/A</v>
      </c>
      <c r="F20" s="172" t="s">
        <v>252</v>
      </c>
      <c r="G20" s="176" t="e">
        <f>VLOOKUP(S20,DATOS!$C$90:$K$91,6,FALSE)</f>
        <v>#N/A</v>
      </c>
      <c r="H20" s="172" t="s">
        <v>252</v>
      </c>
      <c r="I20" s="176" t="e">
        <f>VLOOKUP(S20,DATOS!$C$90:$K$91,7,FALSE)</f>
        <v>#N/A</v>
      </c>
      <c r="J20" s="379" t="s">
        <v>252</v>
      </c>
      <c r="K20" s="187" t="e">
        <f t="shared" si="0"/>
        <v>#N/A</v>
      </c>
      <c r="L20" s="172" t="s">
        <v>252</v>
      </c>
      <c r="M20" s="175">
        <v>0</v>
      </c>
      <c r="N20" s="175" t="s">
        <v>252</v>
      </c>
      <c r="O20" s="176" t="e">
        <f>VLOOKUP(S20,DATOS!$C$90:$K$91,8,FALSE)</f>
        <v>#N/A</v>
      </c>
      <c r="P20" s="177" t="e">
        <f>VLOOKUP(S20,DATOS!$C$90:$K$91,9,FALSE)</f>
        <v>#N/A</v>
      </c>
      <c r="Q20" s="188"/>
      <c r="R20" s="384"/>
      <c r="S20" s="421"/>
    </row>
    <row r="21" spans="1:19" s="11" customFormat="1" ht="30" customHeight="1" thickBot="1" x14ac:dyDescent="0.3">
      <c r="A21" s="159" t="s">
        <v>104</v>
      </c>
      <c r="B21" s="190" t="e">
        <f>VLOOKUP(S21,DATOS!$C$96:$K$111,3,FALSE)</f>
        <v>#N/A</v>
      </c>
      <c r="C21" s="190" t="e">
        <f>VLOOKUP(S21,DATOS!$C$96:$K$111,4,FALSE)</f>
        <v>#N/A</v>
      </c>
      <c r="D21" s="191" t="s">
        <v>226</v>
      </c>
      <c r="E21" s="190" t="e">
        <f>VLOOKUP(S21,DATOS!$C$96:$K$111,5,FALSE)</f>
        <v>#N/A</v>
      </c>
      <c r="F21" s="191" t="s">
        <v>226</v>
      </c>
      <c r="G21" s="190" t="e">
        <f>VLOOKUP(S21,DATOS!$C$96:$K$111,6,FALSE)</f>
        <v>#N/A</v>
      </c>
      <c r="H21" s="191" t="s">
        <v>226</v>
      </c>
      <c r="I21" s="190" t="e">
        <f>VLOOKUP(S21,DATOS!$C$96:$K$111,7,FALSE)</f>
        <v>#N/A</v>
      </c>
      <c r="J21" s="191" t="s">
        <v>226</v>
      </c>
      <c r="K21" s="193" t="e">
        <f t="shared" si="0"/>
        <v>#N/A</v>
      </c>
      <c r="L21" s="191" t="s">
        <v>226</v>
      </c>
      <c r="M21" s="194">
        <v>0</v>
      </c>
      <c r="N21" s="191" t="s">
        <v>226</v>
      </c>
      <c r="O21" s="190" t="e">
        <f>VLOOKUP(S21,DATOS!$C$96:$K$111,8,FALSE)</f>
        <v>#N/A</v>
      </c>
      <c r="P21" s="195" t="e">
        <f>VLOOKUP(S21,DATOS!$C$96:$K$111,9,FALSE)</f>
        <v>#N/A</v>
      </c>
      <c r="Q21" s="196"/>
      <c r="R21" s="385"/>
      <c r="S21" s="422"/>
    </row>
    <row r="22" spans="1:19" s="11" customFormat="1" ht="30" customHeight="1" thickBot="1" x14ac:dyDescent="0.3"/>
    <row r="23" spans="1:19" s="11" customFormat="1" ht="30" customHeight="1" thickBot="1" x14ac:dyDescent="0.3">
      <c r="A23" s="16"/>
      <c r="B23" s="1227" t="s">
        <v>105</v>
      </c>
      <c r="C23" s="1228"/>
      <c r="D23" s="1228"/>
      <c r="E23" s="1228"/>
      <c r="F23" s="1228"/>
      <c r="G23" s="1229"/>
      <c r="H23" s="19"/>
      <c r="I23" s="1227" t="s">
        <v>106</v>
      </c>
      <c r="J23" s="1228"/>
      <c r="K23" s="1228"/>
      <c r="L23" s="1228"/>
      <c r="M23" s="1228"/>
      <c r="N23" s="1228"/>
      <c r="O23" s="1228"/>
      <c r="P23" s="1228"/>
      <c r="Q23" s="1229"/>
      <c r="R23" s="16"/>
    </row>
    <row r="24" spans="1:19" s="11" customFormat="1" ht="30" customHeight="1" thickBot="1" x14ac:dyDescent="0.3">
      <c r="A24" s="16"/>
      <c r="B24" s="386" t="s">
        <v>107</v>
      </c>
      <c r="C24" s="387"/>
      <c r="D24" s="388" t="s">
        <v>1</v>
      </c>
      <c r="E24" s="387"/>
      <c r="F24" s="388" t="s">
        <v>0</v>
      </c>
      <c r="G24" s="389"/>
      <c r="H24" s="19"/>
      <c r="I24" s="1385" t="s">
        <v>98</v>
      </c>
      <c r="J24" s="1387" t="s">
        <v>64</v>
      </c>
      <c r="K24" s="1387" t="s">
        <v>65</v>
      </c>
      <c r="L24" s="1387" t="s">
        <v>230</v>
      </c>
      <c r="M24" s="1387" t="s">
        <v>108</v>
      </c>
      <c r="N24" s="19"/>
      <c r="O24" s="1333" t="s">
        <v>109</v>
      </c>
      <c r="P24" s="1333" t="s">
        <v>110</v>
      </c>
      <c r="Q24" s="1333" t="s">
        <v>111</v>
      </c>
      <c r="R24" s="16"/>
    </row>
    <row r="25" spans="1:19" s="11" customFormat="1" ht="30" customHeight="1" thickBot="1" x14ac:dyDescent="0.3">
      <c r="A25" s="370"/>
      <c r="B25" s="390" t="s">
        <v>55</v>
      </c>
      <c r="C25" s="391"/>
      <c r="D25" s="175" t="e">
        <f>VLOOKUP($A$25,DATOS!$B$24:$M$26,2,FALSE)</f>
        <v>#N/A</v>
      </c>
      <c r="E25" s="175"/>
      <c r="F25" s="175" t="e">
        <f>VLOOKUP($H$25,DATOS!$B$14:$N$16,2,FALSE)</f>
        <v>#N/A</v>
      </c>
      <c r="G25" s="203"/>
      <c r="H25" s="370"/>
      <c r="I25" s="1386"/>
      <c r="J25" s="1388"/>
      <c r="K25" s="1388"/>
      <c r="L25" s="1388"/>
      <c r="M25" s="1388"/>
      <c r="N25" s="19"/>
      <c r="O25" s="1334"/>
      <c r="P25" s="1334"/>
      <c r="Q25" s="1334"/>
      <c r="R25" s="16"/>
    </row>
    <row r="26" spans="1:19" s="11" customFormat="1" ht="30" customHeight="1" x14ac:dyDescent="0.25">
      <c r="A26" s="16"/>
      <c r="B26" s="390" t="s">
        <v>56</v>
      </c>
      <c r="C26" s="391"/>
      <c r="D26" s="175" t="e">
        <f>VLOOKUP($A$25,DATOS!$B$24:$M$26,3,FALSE)</f>
        <v>#N/A</v>
      </c>
      <c r="E26" s="175"/>
      <c r="F26" s="605" t="e">
        <f>VLOOKUP($H$25,DATOS!$B$14:$N$16,3,FALSE)</f>
        <v>#N/A</v>
      </c>
      <c r="G26" s="203"/>
      <c r="H26" s="19"/>
      <c r="I26" s="143" t="s">
        <v>114</v>
      </c>
      <c r="J26" s="82">
        <v>3.7854109999999999</v>
      </c>
      <c r="K26" s="82">
        <v>3785.4110000000001</v>
      </c>
      <c r="L26" s="82">
        <v>231.00000854332629</v>
      </c>
      <c r="M26" s="52">
        <v>5</v>
      </c>
      <c r="N26" s="20"/>
      <c r="O26" s="97" t="e">
        <f>O29/K26</f>
        <v>#N/A</v>
      </c>
      <c r="P26" s="175" t="e">
        <f>P29/K26</f>
        <v>#N/A</v>
      </c>
      <c r="Q26" s="205" t="e">
        <f>P26-O26</f>
        <v>#N/A</v>
      </c>
      <c r="R26" s="16"/>
    </row>
    <row r="27" spans="1:19" s="11" customFormat="1" ht="30" customHeight="1" x14ac:dyDescent="0.25">
      <c r="A27" s="16"/>
      <c r="B27" s="390" t="s">
        <v>30</v>
      </c>
      <c r="C27" s="391"/>
      <c r="D27" s="175" t="e">
        <f>VLOOKUP($A$25,DATOS!$B$24:$M$26,4,FALSE)</f>
        <v>#N/A</v>
      </c>
      <c r="E27" s="175"/>
      <c r="F27" s="605" t="e">
        <f>VLOOKUP($H$25,DATOS!$B$14:$N$16,4,FALSE)</f>
        <v>#N/A</v>
      </c>
      <c r="G27" s="203"/>
      <c r="H27" s="19"/>
      <c r="I27" s="143" t="s">
        <v>231</v>
      </c>
      <c r="J27" s="82">
        <v>1.6387059999999998E-2</v>
      </c>
      <c r="K27" s="82">
        <v>16.387059999999998</v>
      </c>
      <c r="L27" s="82">
        <v>1</v>
      </c>
      <c r="M27" s="32">
        <v>1155.0000427166315</v>
      </c>
      <c r="N27" s="19"/>
      <c r="O27" s="98" t="e">
        <f>O29/K27</f>
        <v>#N/A</v>
      </c>
      <c r="P27" s="175" t="e">
        <f>(P29*L27)/K27</f>
        <v>#N/A</v>
      </c>
      <c r="Q27" s="205" t="e">
        <f>P27-O27</f>
        <v>#N/A</v>
      </c>
      <c r="R27" s="16"/>
    </row>
    <row r="28" spans="1:19" s="11" customFormat="1" ht="30" customHeight="1" x14ac:dyDescent="0.25">
      <c r="A28" s="16"/>
      <c r="B28" s="390" t="s">
        <v>117</v>
      </c>
      <c r="C28" s="391"/>
      <c r="D28" s="175" t="e">
        <f>VLOOKUP($A$25,DATOS!$B$24:$M$26,5,FALSE)</f>
        <v>#N/A</v>
      </c>
      <c r="E28" s="175" t="s">
        <v>3</v>
      </c>
      <c r="F28" s="605" t="e">
        <f>VLOOKUP($H$25,DATOS!$B$14:$N$16,5,FALSE)</f>
        <v>#N/A</v>
      </c>
      <c r="G28" s="203" t="s">
        <v>3</v>
      </c>
      <c r="H28" s="19"/>
      <c r="I28" s="143" t="s">
        <v>26</v>
      </c>
      <c r="J28" s="82">
        <v>1</v>
      </c>
      <c r="K28" s="82">
        <v>1000</v>
      </c>
      <c r="L28" s="82">
        <v>1.6387059999999998E-2</v>
      </c>
      <c r="M28" s="96">
        <v>18.927054999999999</v>
      </c>
      <c r="N28" s="19"/>
      <c r="O28" s="125" t="e">
        <f>O29/K28</f>
        <v>#N/A</v>
      </c>
      <c r="P28" s="175" t="e">
        <f>(P29*J28)/K28</f>
        <v>#N/A</v>
      </c>
      <c r="Q28" s="205" t="e">
        <f>P28-O28</f>
        <v>#N/A</v>
      </c>
      <c r="R28" s="16"/>
    </row>
    <row r="29" spans="1:19" s="11" customFormat="1" ht="30" customHeight="1" x14ac:dyDescent="0.25">
      <c r="A29" s="16"/>
      <c r="B29" s="390" t="s">
        <v>63</v>
      </c>
      <c r="C29" s="391"/>
      <c r="D29" s="175" t="e">
        <f>VLOOKUP($A$25,DATOS!$B$24:$M$26,6,FALSE)</f>
        <v>#N/A</v>
      </c>
      <c r="E29" s="175" t="s">
        <v>10</v>
      </c>
      <c r="F29" s="605" t="e">
        <f>VLOOKUP($H$25,DATOS!$B$14:$N$16,6,FALSE)</f>
        <v>#N/A</v>
      </c>
      <c r="G29" s="203" t="s">
        <v>10</v>
      </c>
      <c r="H29" s="19"/>
      <c r="I29" s="143" t="s">
        <v>27</v>
      </c>
      <c r="J29" s="82">
        <v>1E-3</v>
      </c>
      <c r="K29" s="82">
        <v>1</v>
      </c>
      <c r="L29" s="82">
        <v>16.387059999999998</v>
      </c>
      <c r="M29" s="32">
        <v>18927.055</v>
      </c>
      <c r="N29" s="19"/>
      <c r="O29" s="98" t="e">
        <f>C7</f>
        <v>#N/A</v>
      </c>
      <c r="P29" s="211" t="e">
        <f>H57</f>
        <v>#N/A</v>
      </c>
      <c r="Q29" s="205" t="e">
        <f>P29-O29</f>
        <v>#N/A</v>
      </c>
      <c r="R29" s="16"/>
    </row>
    <row r="30" spans="1:19" s="11" customFormat="1" ht="30" customHeight="1" thickBot="1" x14ac:dyDescent="0.3">
      <c r="A30" s="16"/>
      <c r="B30" s="390" t="s">
        <v>120</v>
      </c>
      <c r="C30" s="391"/>
      <c r="D30" s="175" t="e">
        <f>VLOOKUP($A$25,DATOS!$B$24:$M$26,7,FALSE)</f>
        <v>#N/A</v>
      </c>
      <c r="E30" s="175" t="s">
        <v>4</v>
      </c>
      <c r="F30" s="605" t="e">
        <f>VLOOKUP($H$25,DATOS!$B$14:$N$16,7,FALSE)</f>
        <v>#N/A</v>
      </c>
      <c r="G30" s="203" t="s">
        <v>4</v>
      </c>
      <c r="H30" s="19"/>
      <c r="I30" s="145" t="s">
        <v>232</v>
      </c>
      <c r="J30" s="22">
        <v>1E-3</v>
      </c>
      <c r="K30" s="22">
        <v>1</v>
      </c>
      <c r="L30" s="22">
        <v>16.387059999999998</v>
      </c>
      <c r="M30" s="56">
        <v>18927.055</v>
      </c>
      <c r="N30" s="19"/>
      <c r="O30" s="128" t="e">
        <f>O29</f>
        <v>#N/A</v>
      </c>
      <c r="P30" s="194" t="e">
        <f>P29</f>
        <v>#N/A</v>
      </c>
      <c r="Q30" s="214" t="e">
        <f>P30-O30</f>
        <v>#N/A</v>
      </c>
      <c r="R30" s="16"/>
    </row>
    <row r="31" spans="1:19" s="11" customFormat="1" ht="30" customHeight="1" thickBot="1" x14ac:dyDescent="0.3">
      <c r="A31" s="16"/>
      <c r="B31" s="390" t="s">
        <v>52</v>
      </c>
      <c r="C31" s="391"/>
      <c r="D31" s="175" t="e">
        <f>VLOOKUP($A$25,DATOS!$B$24:$M$26,8,FALSE)</f>
        <v>#N/A</v>
      </c>
      <c r="E31" s="175" t="s">
        <v>4</v>
      </c>
      <c r="F31" s="605" t="e">
        <f>VLOOKUP($H$25,DATOS!$B$14:$N$16,8,FALSE)</f>
        <v>#N/A</v>
      </c>
      <c r="G31" s="203" t="s">
        <v>4</v>
      </c>
      <c r="H31" s="19"/>
      <c r="R31" s="16"/>
    </row>
    <row r="32" spans="1:19" s="11" customFormat="1" ht="30" customHeight="1" thickBot="1" x14ac:dyDescent="0.3">
      <c r="A32" s="16"/>
      <c r="B32" s="390" t="s">
        <v>124</v>
      </c>
      <c r="C32" s="391"/>
      <c r="D32" s="175" t="e">
        <f>VLOOKUP($A$25,DATOS!$B$24:$M$26,9,FALSE)</f>
        <v>#N/A</v>
      </c>
      <c r="E32" s="175" t="s">
        <v>235</v>
      </c>
      <c r="F32" s="605" t="e">
        <f>VLOOKUP($H$25,DATOS!$B$14:$N$16,9,FALSE)</f>
        <v>#N/A</v>
      </c>
      <c r="G32" s="203" t="s">
        <v>235</v>
      </c>
      <c r="H32" s="16"/>
      <c r="I32" s="1381" t="s">
        <v>115</v>
      </c>
      <c r="J32" s="1382"/>
      <c r="K32" s="1383"/>
      <c r="L32" s="1384"/>
      <c r="N32" s="1321" t="s">
        <v>116</v>
      </c>
      <c r="O32" s="1322"/>
      <c r="P32" s="1323"/>
      <c r="Q32" s="1324"/>
    </row>
    <row r="33" spans="1:19" s="11" customFormat="1" ht="30" customHeight="1" x14ac:dyDescent="0.25">
      <c r="A33" s="16"/>
      <c r="B33" s="390" t="s">
        <v>125</v>
      </c>
      <c r="C33" s="391"/>
      <c r="D33" s="175" t="e">
        <f>VLOOKUP($A$25,DATOS!$B$24:$M$26,10,FALSE)</f>
        <v>#N/A</v>
      </c>
      <c r="E33" s="175" t="s">
        <v>14</v>
      </c>
      <c r="F33" s="605" t="e">
        <f>VLOOKUP($H$25,DATOS!$B$14:$N$16,10,FALSE)</f>
        <v>#N/A</v>
      </c>
      <c r="G33" s="203" t="s">
        <v>14</v>
      </c>
      <c r="H33" s="19"/>
    </row>
    <row r="34" spans="1:19" s="11" customFormat="1" ht="30" customHeight="1" thickBot="1" x14ac:dyDescent="0.3">
      <c r="A34" s="16"/>
      <c r="B34" s="390" t="s">
        <v>126</v>
      </c>
      <c r="C34" s="391"/>
      <c r="D34" s="175" t="e">
        <f>VLOOKUP($A$25,DATOS!$B$24:$M$26,11,FALSE)</f>
        <v>#N/A</v>
      </c>
      <c r="E34" s="175" t="s">
        <v>14</v>
      </c>
      <c r="F34" s="605" t="e">
        <f>VLOOKUP($H$25,DATOS!$B$14:$N$16,11,FALSE)</f>
        <v>#N/A</v>
      </c>
      <c r="G34" s="203" t="s">
        <v>14</v>
      </c>
      <c r="H34" s="19"/>
      <c r="I34" s="1325" t="s">
        <v>118</v>
      </c>
      <c r="J34" s="1326"/>
      <c r="K34" s="1326"/>
      <c r="L34" s="1326"/>
      <c r="M34" s="1326"/>
      <c r="N34" s="1326"/>
      <c r="O34" s="1326"/>
      <c r="P34" s="1326"/>
      <c r="Q34" s="1326"/>
      <c r="R34" s="1326"/>
    </row>
    <row r="35" spans="1:19" s="11" customFormat="1" ht="30" customHeight="1" x14ac:dyDescent="0.25">
      <c r="A35" s="16"/>
      <c r="B35" s="390" t="s">
        <v>250</v>
      </c>
      <c r="C35" s="391"/>
      <c r="D35" s="175" t="e">
        <f>VLOOKUP($A$25,DATOS!$B$24:$M$26,12,FALSE)</f>
        <v>#N/A</v>
      </c>
      <c r="E35" s="175" t="s">
        <v>235</v>
      </c>
      <c r="F35" s="175" t="e">
        <f>D35</f>
        <v>#N/A</v>
      </c>
      <c r="G35" s="203" t="s">
        <v>235</v>
      </c>
      <c r="H35" s="19"/>
      <c r="I35" s="1193" t="s">
        <v>119</v>
      </c>
      <c r="J35" s="1194"/>
      <c r="K35" s="1194"/>
      <c r="L35" s="1194"/>
      <c r="M35" s="1195" t="s">
        <v>23</v>
      </c>
      <c r="N35" s="1195"/>
      <c r="O35" s="1195"/>
      <c r="P35" s="1195"/>
      <c r="Q35" s="215" t="s">
        <v>24</v>
      </c>
      <c r="R35" s="216" t="s">
        <v>16</v>
      </c>
    </row>
    <row r="36" spans="1:19" s="11" customFormat="1" ht="30" customHeight="1" thickBot="1" x14ac:dyDescent="0.3">
      <c r="A36" s="16"/>
      <c r="B36" s="392" t="s">
        <v>122</v>
      </c>
      <c r="C36" s="393"/>
      <c r="D36" s="175">
        <f>K57</f>
        <v>-6.2863206736149993E-5</v>
      </c>
      <c r="E36" s="194" t="s">
        <v>235</v>
      </c>
      <c r="F36" s="175">
        <f>D36</f>
        <v>-6.2863206736149993E-5</v>
      </c>
      <c r="G36" s="217" t="s">
        <v>235</v>
      </c>
      <c r="H36" s="19"/>
      <c r="I36" s="1253" t="s">
        <v>33</v>
      </c>
      <c r="J36" s="1178"/>
      <c r="K36" s="353"/>
      <c r="L36" s="218" t="s">
        <v>3</v>
      </c>
      <c r="M36" s="1178" t="s">
        <v>33</v>
      </c>
      <c r="N36" s="1178"/>
      <c r="O36" s="355"/>
      <c r="P36" s="218" t="s">
        <v>3</v>
      </c>
      <c r="Q36" s="219" t="e">
        <f>AVERAGE(K36,O36)</f>
        <v>#DIV/0!</v>
      </c>
      <c r="R36" s="1013" t="e">
        <f>Q36+G14</f>
        <v>#DIV/0!</v>
      </c>
    </row>
    <row r="37" spans="1:19" s="11" customFormat="1" ht="39" customHeight="1" thickBot="1" x14ac:dyDescent="0.3">
      <c r="A37" s="16"/>
      <c r="B37" s="19"/>
      <c r="C37" s="19"/>
      <c r="D37" s="19"/>
      <c r="E37" s="19"/>
      <c r="F37" s="19"/>
      <c r="G37" s="19"/>
      <c r="H37" s="19"/>
      <c r="I37" s="1253" t="s">
        <v>44</v>
      </c>
      <c r="J37" s="1178"/>
      <c r="K37" s="353"/>
      <c r="L37" s="218" t="s">
        <v>121</v>
      </c>
      <c r="M37" s="1178" t="s">
        <v>44</v>
      </c>
      <c r="N37" s="1178"/>
      <c r="O37" s="355"/>
      <c r="P37" s="218" t="s">
        <v>121</v>
      </c>
      <c r="Q37" s="219" t="e">
        <f>AVERAGE(K37,O37)</f>
        <v>#DIV/0!</v>
      </c>
      <c r="R37" s="1013" t="e">
        <f>Q37+G15</f>
        <v>#DIV/0!</v>
      </c>
    </row>
    <row r="38" spans="1:19" s="11" customFormat="1" ht="30" customHeight="1" thickBot="1" x14ac:dyDescent="0.3">
      <c r="A38" s="16"/>
      <c r="B38" s="1350" t="s">
        <v>276</v>
      </c>
      <c r="C38" s="1351"/>
      <c r="D38" s="1186" t="e">
        <f>VLOOKUP(H38,DATOS!Q8:S12,2,FALSE)</f>
        <v>#N/A</v>
      </c>
      <c r="E38" s="1187"/>
      <c r="F38" s="1187"/>
      <c r="G38" s="1188"/>
      <c r="H38" s="370"/>
      <c r="I38" s="1257" t="s">
        <v>123</v>
      </c>
      <c r="J38" s="1179"/>
      <c r="K38" s="354"/>
      <c r="L38" s="220" t="s">
        <v>17</v>
      </c>
      <c r="M38" s="1179" t="s">
        <v>123</v>
      </c>
      <c r="N38" s="1179"/>
      <c r="O38" s="354"/>
      <c r="P38" s="220" t="s">
        <v>17</v>
      </c>
      <c r="Q38" s="221" t="e">
        <f>AVERAGE(K38,O38)</f>
        <v>#DIV/0!</v>
      </c>
      <c r="R38" s="1014" t="e">
        <f>Q38+G16</f>
        <v>#DIV/0!</v>
      </c>
    </row>
    <row r="39" spans="1:19" s="11" customFormat="1" ht="30" customHeight="1" thickBot="1" x14ac:dyDescent="0.3">
      <c r="A39" s="16"/>
      <c r="H39" s="19"/>
      <c r="I39" s="19"/>
    </row>
    <row r="40" spans="1:19" s="16" customFormat="1" ht="30" customHeight="1" thickBot="1" x14ac:dyDescent="0.3">
      <c r="C40" s="1227" t="s">
        <v>127</v>
      </c>
      <c r="D40" s="1228"/>
      <c r="E40" s="1228"/>
      <c r="F40" s="1228"/>
      <c r="G40" s="1228"/>
      <c r="H40" s="1228"/>
      <c r="I40" s="1228"/>
      <c r="J40" s="1228"/>
      <c r="K40" s="1228"/>
      <c r="L40" s="1228"/>
      <c r="M40" s="1228"/>
      <c r="N40" s="1229"/>
      <c r="P40" s="1173" t="s">
        <v>376</v>
      </c>
      <c r="Q40" s="1174"/>
      <c r="R40" s="1174"/>
      <c r="S40" s="1175"/>
    </row>
    <row r="41" spans="1:19" s="19" customFormat="1" ht="27.75" customHeight="1" x14ac:dyDescent="0.25">
      <c r="B41" s="17"/>
      <c r="C41" s="1352" t="s">
        <v>128</v>
      </c>
      <c r="D41" s="1353"/>
      <c r="E41" s="1353"/>
      <c r="F41" s="1353"/>
      <c r="G41" s="1354"/>
      <c r="I41" s="1352" t="s">
        <v>129</v>
      </c>
      <c r="J41" s="1353"/>
      <c r="K41" s="1353"/>
      <c r="L41" s="1353"/>
      <c r="M41" s="1353"/>
      <c r="N41" s="1354"/>
      <c r="P41" s="1361"/>
      <c r="Q41" s="1362"/>
      <c r="R41" s="1362"/>
      <c r="S41" s="1363"/>
    </row>
    <row r="42" spans="1:19" s="11" customFormat="1" ht="30" customHeight="1" x14ac:dyDescent="0.25">
      <c r="B42" s="143" t="s">
        <v>130</v>
      </c>
      <c r="C42" s="696" t="s">
        <v>131</v>
      </c>
      <c r="D42" s="1034" t="s">
        <v>505</v>
      </c>
      <c r="E42" s="144" t="s">
        <v>132</v>
      </c>
      <c r="F42" s="144" t="s">
        <v>133</v>
      </c>
      <c r="G42" s="81" t="s">
        <v>134</v>
      </c>
      <c r="H42" s="19"/>
      <c r="I42" s="1033" t="s">
        <v>131</v>
      </c>
      <c r="J42" s="1034" t="s">
        <v>505</v>
      </c>
      <c r="K42" s="144" t="s">
        <v>132</v>
      </c>
      <c r="L42" s="144" t="s">
        <v>133</v>
      </c>
      <c r="M42" s="144" t="s">
        <v>134</v>
      </c>
      <c r="N42" s="81" t="s">
        <v>135</v>
      </c>
      <c r="O42" s="19"/>
      <c r="P42" s="1364"/>
      <c r="Q42" s="1365"/>
      <c r="R42" s="1365"/>
      <c r="S42" s="1366"/>
    </row>
    <row r="43" spans="1:19" s="11" customFormat="1" ht="30" customHeight="1" x14ac:dyDescent="0.25">
      <c r="A43" s="16"/>
      <c r="B43" s="25">
        <v>1</v>
      </c>
      <c r="C43" s="356"/>
      <c r="D43" s="1011">
        <f>C43+(-0.0013*C43+0.0055)</f>
        <v>5.4999999999999997E-3</v>
      </c>
      <c r="E43" s="416"/>
      <c r="F43" s="417"/>
      <c r="G43" s="412">
        <f>E43+F43</f>
        <v>0</v>
      </c>
      <c r="H43" s="24"/>
      <c r="I43" s="357"/>
      <c r="J43" s="1016">
        <f>I43+(-0.0015*I43- 0.029)</f>
        <v>-2.9000000000000001E-2</v>
      </c>
      <c r="K43" s="357"/>
      <c r="L43" s="358"/>
      <c r="M43" s="26">
        <f>K43+L43</f>
        <v>0</v>
      </c>
      <c r="N43" s="359">
        <v>0</v>
      </c>
      <c r="O43" s="19"/>
      <c r="P43" s="1364"/>
      <c r="Q43" s="1365"/>
      <c r="R43" s="1365"/>
      <c r="S43" s="1366"/>
    </row>
    <row r="44" spans="1:19" s="11" customFormat="1" ht="30" customHeight="1" thickBot="1" x14ac:dyDescent="0.3">
      <c r="A44" s="16"/>
      <c r="B44" s="25">
        <v>2</v>
      </c>
      <c r="C44" s="356"/>
      <c r="D44" s="1011">
        <f t="shared" ref="D44:D45" si="2">C44+(-0.0013*C44+0.0055)</f>
        <v>5.4999999999999997E-3</v>
      </c>
      <c r="E44" s="416"/>
      <c r="F44" s="417"/>
      <c r="G44" s="412">
        <f t="shared" ref="G44:G45" si="3">E44+F44</f>
        <v>0</v>
      </c>
      <c r="H44" s="24"/>
      <c r="I44" s="356"/>
      <c r="J44" s="1016">
        <f t="shared" ref="J44:J45" si="4">I44+(-0.0015*I44- 0.029)</f>
        <v>-2.9000000000000001E-2</v>
      </c>
      <c r="K44" s="357"/>
      <c r="L44" s="358"/>
      <c r="M44" s="26">
        <f t="shared" ref="M44:M45" si="5">K44+L44</f>
        <v>0</v>
      </c>
      <c r="N44" s="359">
        <v>0</v>
      </c>
      <c r="O44" s="19"/>
      <c r="P44" s="1364"/>
      <c r="Q44" s="1365"/>
      <c r="R44" s="1365"/>
      <c r="S44" s="1366"/>
    </row>
    <row r="45" spans="1:19" s="27" customFormat="1" ht="30" customHeight="1" thickBot="1" x14ac:dyDescent="0.3">
      <c r="A45" s="28" t="s">
        <v>136</v>
      </c>
      <c r="B45" s="25">
        <v>3</v>
      </c>
      <c r="C45" s="356"/>
      <c r="D45" s="1011">
        <f t="shared" si="2"/>
        <v>5.4999999999999997E-3</v>
      </c>
      <c r="E45" s="416"/>
      <c r="F45" s="417"/>
      <c r="G45" s="412">
        <f t="shared" si="3"/>
        <v>0</v>
      </c>
      <c r="H45" s="24"/>
      <c r="I45" s="356"/>
      <c r="J45" s="1016">
        <f t="shared" si="4"/>
        <v>-2.9000000000000001E-2</v>
      </c>
      <c r="K45" s="357"/>
      <c r="L45" s="358"/>
      <c r="M45" s="26">
        <f t="shared" si="5"/>
        <v>0</v>
      </c>
      <c r="N45" s="418">
        <v>0</v>
      </c>
      <c r="O45" s="24"/>
      <c r="P45" s="1364"/>
      <c r="Q45" s="1365"/>
      <c r="R45" s="1365"/>
      <c r="S45" s="1366"/>
    </row>
    <row r="46" spans="1:19" s="27" customFormat="1" ht="30" customHeight="1" thickBot="1" x14ac:dyDescent="0.3">
      <c r="A46" s="23"/>
      <c r="B46" s="29" t="s">
        <v>2</v>
      </c>
      <c r="C46" s="30"/>
      <c r="D46" s="1344" t="s">
        <v>502</v>
      </c>
      <c r="E46" s="1345"/>
      <c r="F46" s="1346"/>
      <c r="G46" s="1012">
        <f>AVERAGE(D43:D45)</f>
        <v>5.5000000000000005E-3</v>
      </c>
      <c r="H46" s="24"/>
      <c r="I46" s="99"/>
      <c r="J46" s="1344" t="s">
        <v>504</v>
      </c>
      <c r="K46" s="1345"/>
      <c r="L46" s="1346"/>
      <c r="M46" s="1015">
        <f>AVERAGE(J43:J45)</f>
        <v>-2.9000000000000001E-2</v>
      </c>
      <c r="N46" s="419"/>
      <c r="O46" s="24"/>
      <c r="P46" s="1364"/>
      <c r="Q46" s="1365"/>
      <c r="R46" s="1365"/>
      <c r="S46" s="1366"/>
    </row>
    <row r="47" spans="1:19" s="27" customFormat="1" ht="45" customHeight="1" thickBot="1" x14ac:dyDescent="0.3">
      <c r="A47" s="23"/>
      <c r="O47" s="24"/>
      <c r="P47" s="1367"/>
      <c r="Q47" s="1368"/>
      <c r="R47" s="1368"/>
      <c r="S47" s="1369"/>
    </row>
    <row r="48" spans="1:19" s="27" customFormat="1" ht="45" customHeight="1" x14ac:dyDescent="0.25">
      <c r="A48" s="23"/>
      <c r="B48" s="24"/>
    </row>
    <row r="49" spans="1:18" s="27" customFormat="1" ht="30" customHeight="1" x14ac:dyDescent="0.25">
      <c r="A49" s="23"/>
      <c r="B49" s="23"/>
      <c r="C49" s="23"/>
      <c r="D49" s="23"/>
      <c r="E49" s="23"/>
      <c r="F49" s="23"/>
      <c r="G49" s="23"/>
      <c r="H49" s="23"/>
      <c r="I49" s="23"/>
      <c r="J49" s="23"/>
      <c r="K49" s="23"/>
      <c r="L49" s="23"/>
      <c r="M49" s="23"/>
      <c r="N49" s="23"/>
      <c r="O49" s="23"/>
      <c r="P49" s="23"/>
      <c r="Q49" s="23"/>
      <c r="R49" s="23"/>
    </row>
    <row r="50" spans="1:18" s="11" customFormat="1" ht="30" customHeight="1" x14ac:dyDescent="0.25">
      <c r="A50" s="16"/>
      <c r="B50" s="19"/>
      <c r="H50" s="19"/>
      <c r="N50" s="19"/>
      <c r="O50" s="19"/>
      <c r="P50" s="19"/>
      <c r="Q50" s="16"/>
      <c r="R50" s="16"/>
    </row>
    <row r="51" spans="1:18" s="19" customFormat="1" ht="25.5" customHeight="1" thickBot="1" x14ac:dyDescent="0.3">
      <c r="B51" s="31"/>
      <c r="C51" s="31"/>
      <c r="D51" s="31"/>
      <c r="E51" s="31"/>
      <c r="F51" s="31"/>
      <c r="G51" s="31"/>
      <c r="H51" s="31"/>
      <c r="I51" s="31"/>
      <c r="J51" s="31"/>
      <c r="K51" s="31"/>
      <c r="L51" s="31"/>
      <c r="M51" s="31"/>
      <c r="N51" s="31"/>
      <c r="O51" s="31"/>
    </row>
    <row r="52" spans="1:18" s="11" customFormat="1" ht="30" customHeight="1" thickBot="1" x14ac:dyDescent="0.3">
      <c r="A52" s="16"/>
      <c r="B52" s="16"/>
      <c r="C52" s="16"/>
      <c r="D52" s="16"/>
      <c r="E52" s="1227" t="s">
        <v>137</v>
      </c>
      <c r="F52" s="1228"/>
      <c r="G52" s="1228"/>
      <c r="H52" s="1228"/>
      <c r="I52" s="1228"/>
      <c r="J52" s="1228"/>
      <c r="K52" s="1228"/>
      <c r="L52" s="1229"/>
      <c r="M52" s="16"/>
      <c r="N52" s="16"/>
      <c r="O52" s="16"/>
      <c r="P52" s="16"/>
      <c r="Q52" s="16"/>
    </row>
    <row r="53" spans="1:18" s="11" customFormat="1" ht="30" customHeight="1" thickBot="1" x14ac:dyDescent="0.3">
      <c r="A53" s="16"/>
      <c r="E53" s="1314" t="s">
        <v>130</v>
      </c>
      <c r="F53" s="1315"/>
      <c r="G53" s="394" t="s">
        <v>233</v>
      </c>
      <c r="H53" s="395" t="s">
        <v>234</v>
      </c>
      <c r="I53" s="19"/>
      <c r="J53" s="396"/>
      <c r="K53" s="397"/>
      <c r="L53" s="398"/>
      <c r="M53" s="16"/>
      <c r="N53" s="399" t="s">
        <v>4</v>
      </c>
      <c r="O53" s="1380" t="s">
        <v>138</v>
      </c>
      <c r="P53" s="134"/>
      <c r="Q53" s="138" t="e">
        <f>IF(Q29&gt;=(N54)," AJUSTAR","NO AJUSTAR")</f>
        <v>#N/A</v>
      </c>
      <c r="R53" s="131"/>
    </row>
    <row r="54" spans="1:18" s="11" customFormat="1" ht="30" customHeight="1" thickBot="1" x14ac:dyDescent="0.3">
      <c r="A54" s="16"/>
      <c r="E54" s="1269">
        <v>1</v>
      </c>
      <c r="F54" s="1247"/>
      <c r="G54" s="211" t="e">
        <f>$C$7*((1-$D$32*($D$28-D43))+($K$54)*(J43-D43)+$F$32*($F$28-J43))</f>
        <v>#N/A</v>
      </c>
      <c r="H54" s="207" t="e">
        <f>G54+N43</f>
        <v>#N/A</v>
      </c>
      <c r="I54" s="19"/>
      <c r="J54" s="143">
        <v>1</v>
      </c>
      <c r="K54" s="247">
        <f>(-0.1176*((D43+J43)/2)^2+(15.846*(D43+J43)/2)-62.677)*10^-6</f>
        <v>-6.2863206736149993E-5</v>
      </c>
      <c r="L54" s="248" t="s">
        <v>235</v>
      </c>
      <c r="M54" s="19"/>
      <c r="N54" s="253">
        <v>8.1940000000000008</v>
      </c>
      <c r="O54" s="1379"/>
      <c r="P54" s="137"/>
      <c r="Q54" s="400" t="e">
        <f>Q29</f>
        <v>#N/A</v>
      </c>
      <c r="R54" s="137"/>
    </row>
    <row r="55" spans="1:18" s="11" customFormat="1" ht="30" customHeight="1" thickBot="1" x14ac:dyDescent="0.3">
      <c r="A55" s="16"/>
      <c r="E55" s="1269">
        <v>2</v>
      </c>
      <c r="F55" s="1247"/>
      <c r="G55" s="211" t="e">
        <f>$C$7*((1-$D$32*($D$28-D44))+($K$55)*(J44-D44)+$F$32*($F$28-J44))</f>
        <v>#N/A</v>
      </c>
      <c r="H55" s="207" t="e">
        <f>G55+N44</f>
        <v>#N/A</v>
      </c>
      <c r="I55" s="19"/>
      <c r="J55" s="143">
        <v>2</v>
      </c>
      <c r="K55" s="247">
        <f>(-0.1176*((D44+J44)/2)^2+(15.846*(D44+J44)/2)-62.677)*10^-6</f>
        <v>-6.2863206736149993E-5</v>
      </c>
      <c r="L55" s="248" t="s">
        <v>235</v>
      </c>
      <c r="N55" s="401" t="s">
        <v>380</v>
      </c>
      <c r="O55" s="1378" t="s">
        <v>236</v>
      </c>
      <c r="P55" s="136"/>
      <c r="Q55" s="139" t="e">
        <f>IF(Q27&gt;=(N56)," AJUSTAR","NO AJUSTAR")</f>
        <v>#N/A</v>
      </c>
      <c r="R55" s="133"/>
    </row>
    <row r="56" spans="1:18" s="11" customFormat="1" ht="30" customHeight="1" thickBot="1" x14ac:dyDescent="0.3">
      <c r="A56" s="16"/>
      <c r="E56" s="1269">
        <v>3</v>
      </c>
      <c r="F56" s="1247"/>
      <c r="G56" s="211" t="e">
        <f>$C$7*((1-$D$32*($D$28-D45))+($K$56)*(J45-D45)+$F$32*($F$28-J45))</f>
        <v>#N/A</v>
      </c>
      <c r="H56" s="207" t="e">
        <f>G56+N45</f>
        <v>#N/A</v>
      </c>
      <c r="I56" s="19"/>
      <c r="J56" s="143">
        <v>3</v>
      </c>
      <c r="K56" s="247">
        <f>(-0.1176*((D45+J45)/2)^2+(15.846*(D45+J45)/2)-62.677)*10^-6</f>
        <v>-6.2863206736149993E-5</v>
      </c>
      <c r="L56" s="248" t="s">
        <v>235</v>
      </c>
      <c r="N56" s="253">
        <v>0.5</v>
      </c>
      <c r="O56" s="1379"/>
      <c r="P56" s="135"/>
      <c r="Q56" s="402" t="e">
        <f>Q27</f>
        <v>#N/A</v>
      </c>
      <c r="R56" s="132"/>
    </row>
    <row r="57" spans="1:18" s="11" customFormat="1" ht="30" customHeight="1" thickBot="1" x14ac:dyDescent="0.3">
      <c r="A57" s="16"/>
      <c r="E57" s="1241" t="s">
        <v>237</v>
      </c>
      <c r="F57" s="1242"/>
      <c r="G57" s="1243"/>
      <c r="H57" s="207" t="e">
        <f>AVERAGE(H54:H56)</f>
        <v>#N/A</v>
      </c>
      <c r="J57" s="34" t="s">
        <v>2</v>
      </c>
      <c r="K57" s="35">
        <f>AVERAGE(K54:K56)</f>
        <v>-6.2863206736149993E-5</v>
      </c>
      <c r="L57" s="36" t="s">
        <v>235</v>
      </c>
    </row>
    <row r="58" spans="1:18" s="11" customFormat="1" ht="30" customHeight="1" x14ac:dyDescent="0.25">
      <c r="A58" s="16"/>
      <c r="E58" s="1241" t="s">
        <v>238</v>
      </c>
      <c r="F58" s="1242"/>
      <c r="G58" s="1243"/>
      <c r="H58" s="261" t="e">
        <f>_xlfn.STDEV.S(H54:H56)</f>
        <v>#N/A</v>
      </c>
      <c r="I58" s="16"/>
      <c r="J58" s="37"/>
      <c r="K58" s="38"/>
      <c r="L58" s="38"/>
      <c r="M58" s="100"/>
      <c r="N58" s="100"/>
      <c r="O58" s="101"/>
    </row>
    <row r="59" spans="1:18" s="11" customFormat="1" ht="30" customHeight="1" thickBot="1" x14ac:dyDescent="0.3">
      <c r="A59" s="16"/>
      <c r="B59" s="19"/>
      <c r="E59" s="1244" t="s">
        <v>139</v>
      </c>
      <c r="F59" s="1245"/>
      <c r="G59" s="1246"/>
      <c r="H59" s="264" t="e">
        <f>H58/SQRT(3)</f>
        <v>#N/A</v>
      </c>
      <c r="I59" s="16"/>
      <c r="J59" s="37"/>
      <c r="K59" s="38"/>
      <c r="L59" s="39"/>
      <c r="M59" s="19"/>
      <c r="N59" s="19"/>
      <c r="O59" s="19"/>
      <c r="P59" s="19"/>
      <c r="Q59" s="16"/>
      <c r="R59" s="16"/>
    </row>
    <row r="60" spans="1:18" s="11" customFormat="1" ht="30" customHeight="1" x14ac:dyDescent="0.25">
      <c r="A60" s="16"/>
      <c r="B60" s="19"/>
      <c r="M60" s="19" t="s">
        <v>13</v>
      </c>
      <c r="N60" s="19"/>
      <c r="O60" s="19"/>
      <c r="P60" s="19"/>
      <c r="Q60" s="16"/>
      <c r="R60" s="16"/>
    </row>
    <row r="61" spans="1:18" s="19" customFormat="1" ht="22.5" customHeight="1" x14ac:dyDescent="0.25">
      <c r="A61" s="40"/>
      <c r="J61" s="17"/>
      <c r="K61" s="17"/>
      <c r="L61" s="41"/>
      <c r="M61" s="41"/>
      <c r="N61" s="41"/>
      <c r="O61" s="41"/>
      <c r="Q61" s="16"/>
      <c r="R61" s="16"/>
    </row>
    <row r="62" spans="1:18" s="11" customFormat="1" ht="30" customHeight="1" thickBot="1" x14ac:dyDescent="0.3">
      <c r="M62" s="19"/>
      <c r="N62" s="19"/>
      <c r="O62" s="19"/>
      <c r="P62" s="19"/>
      <c r="Q62" s="16"/>
      <c r="R62" s="16"/>
    </row>
    <row r="63" spans="1:18" s="11" customFormat="1" ht="30" customHeight="1" thickBot="1" x14ac:dyDescent="0.3">
      <c r="A63" s="19"/>
      <c r="B63" s="1227" t="s">
        <v>140</v>
      </c>
      <c r="C63" s="1228"/>
      <c r="D63" s="1228"/>
      <c r="E63" s="1228"/>
      <c r="F63" s="1228"/>
      <c r="G63" s="1228"/>
      <c r="H63" s="1228"/>
      <c r="I63" s="1228"/>
      <c r="J63" s="1228"/>
      <c r="K63" s="1228"/>
      <c r="L63" s="1229"/>
      <c r="M63" s="19"/>
      <c r="Q63" s="16"/>
      <c r="R63" s="16"/>
    </row>
    <row r="64" spans="1:18" s="11" customFormat="1" ht="30" customHeight="1" x14ac:dyDescent="0.25">
      <c r="A64" s="19"/>
      <c r="B64" s="267"/>
      <c r="C64" s="38"/>
      <c r="D64" s="38"/>
      <c r="E64" s="38"/>
      <c r="F64" s="38"/>
      <c r="G64" s="38"/>
      <c r="H64" s="38"/>
      <c r="I64" s="38"/>
      <c r="J64" s="38"/>
      <c r="K64" s="268" t="s">
        <v>141</v>
      </c>
      <c r="L64" s="269" t="s">
        <v>98</v>
      </c>
      <c r="M64" s="19"/>
      <c r="N64" s="141" t="s">
        <v>98</v>
      </c>
      <c r="O64" s="142" t="s">
        <v>1</v>
      </c>
      <c r="P64" s="80" t="s">
        <v>0</v>
      </c>
      <c r="Q64" s="16"/>
      <c r="R64" s="16"/>
    </row>
    <row r="65" spans="1:18" s="19" customFormat="1" ht="30" customHeight="1" x14ac:dyDescent="0.25">
      <c r="B65" s="1270" t="s">
        <v>279</v>
      </c>
      <c r="C65" s="1271"/>
      <c r="D65" s="1271"/>
      <c r="E65" s="270"/>
      <c r="F65" s="270"/>
      <c r="G65" s="271"/>
      <c r="H65" s="271"/>
      <c r="I65" s="271"/>
      <c r="J65" s="272"/>
      <c r="K65" s="273" t="e">
        <f>(1-$O$73*(O71-O67))+(O77)*(P69-O67)+P75*(P79-P69)</f>
        <v>#N/A</v>
      </c>
      <c r="L65" s="1054" t="s">
        <v>518</v>
      </c>
      <c r="N65" s="46"/>
      <c r="O65" s="21" t="e">
        <f>C7</f>
        <v>#N/A</v>
      </c>
      <c r="P65" s="47"/>
    </row>
    <row r="66" spans="1:18" s="11" customFormat="1" ht="5.0999999999999996" customHeight="1" x14ac:dyDescent="0.25">
      <c r="A66" s="19"/>
      <c r="B66" s="103"/>
      <c r="C66" s="18"/>
      <c r="D66" s="18"/>
      <c r="E66" s="18"/>
      <c r="F66" s="275"/>
      <c r="G66" s="263"/>
      <c r="H66" s="263"/>
      <c r="I66" s="263"/>
      <c r="J66" s="263"/>
      <c r="K66" s="18"/>
      <c r="L66" s="1055"/>
      <c r="M66" s="19"/>
      <c r="N66" s="43"/>
      <c r="O66" s="44"/>
      <c r="P66" s="45"/>
      <c r="R66" s="16"/>
    </row>
    <row r="67" spans="1:18" s="16" customFormat="1" ht="30" customHeight="1" x14ac:dyDescent="0.25">
      <c r="A67" s="19"/>
      <c r="B67" s="1270" t="s">
        <v>280</v>
      </c>
      <c r="C67" s="1271"/>
      <c r="D67" s="1271"/>
      <c r="E67" s="1271"/>
      <c r="F67" s="270"/>
      <c r="G67" s="271"/>
      <c r="H67" s="271"/>
      <c r="I67" s="271"/>
      <c r="J67" s="272"/>
      <c r="K67" s="273" t="e">
        <f>$O$65*(O73-O77)</f>
        <v>#N/A</v>
      </c>
      <c r="L67" s="1054" t="s">
        <v>519</v>
      </c>
      <c r="N67" s="46"/>
      <c r="O67" s="48">
        <f>G46</f>
        <v>5.5000000000000005E-3</v>
      </c>
      <c r="P67" s="47"/>
    </row>
    <row r="68" spans="1:18" s="11" customFormat="1" ht="5.0999999999999996" customHeight="1" x14ac:dyDescent="0.25">
      <c r="A68" s="19"/>
      <c r="B68" s="103"/>
      <c r="C68" s="18"/>
      <c r="D68" s="18"/>
      <c r="E68" s="18"/>
      <c r="F68" s="275"/>
      <c r="G68" s="263"/>
      <c r="H68" s="263"/>
      <c r="I68" s="263"/>
      <c r="J68" s="263"/>
      <c r="K68" s="18"/>
      <c r="L68" s="1056"/>
      <c r="M68" s="16"/>
      <c r="N68" s="43"/>
      <c r="O68" s="44"/>
      <c r="P68" s="45"/>
      <c r="Q68" s="16"/>
      <c r="R68" s="16"/>
    </row>
    <row r="69" spans="1:18" s="16" customFormat="1" ht="30" customHeight="1" x14ac:dyDescent="0.25">
      <c r="A69" s="19"/>
      <c r="B69" s="1270" t="s">
        <v>281</v>
      </c>
      <c r="C69" s="1271"/>
      <c r="D69" s="1271"/>
      <c r="E69" s="1271"/>
      <c r="F69" s="270"/>
      <c r="G69" s="271"/>
      <c r="H69" s="271"/>
      <c r="I69" s="271"/>
      <c r="J69" s="272"/>
      <c r="K69" s="273" t="e">
        <f>$O$65*(O77-P75)</f>
        <v>#N/A</v>
      </c>
      <c r="L69" s="1054" t="s">
        <v>519</v>
      </c>
      <c r="N69" s="46"/>
      <c r="O69" s="49"/>
      <c r="P69" s="50">
        <f>M46</f>
        <v>-2.9000000000000001E-2</v>
      </c>
    </row>
    <row r="70" spans="1:18" s="11" customFormat="1" ht="5.0999999999999996" customHeight="1" x14ac:dyDescent="0.25">
      <c r="A70" s="19"/>
      <c r="B70" s="103"/>
      <c r="C70" s="18"/>
      <c r="D70" s="18"/>
      <c r="E70" s="18"/>
      <c r="F70" s="18"/>
      <c r="G70" s="263"/>
      <c r="H70" s="263"/>
      <c r="I70" s="263"/>
      <c r="J70" s="263"/>
      <c r="K70" s="18"/>
      <c r="L70" s="1056"/>
      <c r="M70" s="16"/>
      <c r="N70" s="43"/>
      <c r="O70" s="44"/>
      <c r="P70" s="45"/>
      <c r="Q70" s="16"/>
      <c r="R70" s="16"/>
    </row>
    <row r="71" spans="1:18" s="16" customFormat="1" ht="30" customHeight="1" x14ac:dyDescent="0.25">
      <c r="A71" s="19"/>
      <c r="B71" s="1270" t="s">
        <v>278</v>
      </c>
      <c r="C71" s="1271"/>
      <c r="D71" s="1271"/>
      <c r="E71" s="1271"/>
      <c r="F71" s="1271"/>
      <c r="G71" s="271"/>
      <c r="H71" s="271"/>
      <c r="I71" s="271"/>
      <c r="J71" s="272"/>
      <c r="K71" s="273" t="e">
        <f>-O$65*(O71-O67)</f>
        <v>#N/A</v>
      </c>
      <c r="L71" s="1054" t="s">
        <v>520</v>
      </c>
      <c r="N71" s="51"/>
      <c r="O71" s="21" t="e">
        <f>D28</f>
        <v>#N/A</v>
      </c>
      <c r="P71" s="52">
        <v>0</v>
      </c>
    </row>
    <row r="72" spans="1:18" s="11" customFormat="1" ht="5.0999999999999996" customHeight="1" x14ac:dyDescent="0.25">
      <c r="A72" s="19"/>
      <c r="B72" s="103"/>
      <c r="C72" s="18"/>
      <c r="D72" s="18"/>
      <c r="E72" s="18"/>
      <c r="F72" s="18"/>
      <c r="G72" s="263"/>
      <c r="H72" s="263"/>
      <c r="I72" s="263"/>
      <c r="J72" s="263"/>
      <c r="K72" s="18"/>
      <c r="L72" s="1056"/>
      <c r="M72" s="16"/>
      <c r="N72" s="43"/>
      <c r="O72" s="44"/>
      <c r="P72" s="45"/>
      <c r="Q72" s="16"/>
      <c r="R72" s="16"/>
    </row>
    <row r="73" spans="1:18" s="16" customFormat="1" ht="30" customHeight="1" x14ac:dyDescent="0.25">
      <c r="A73" s="19"/>
      <c r="B73" s="1270" t="s">
        <v>277</v>
      </c>
      <c r="C73" s="1271"/>
      <c r="D73" s="1271"/>
      <c r="E73" s="1271"/>
      <c r="F73" s="1271"/>
      <c r="G73" s="279"/>
      <c r="H73" s="279"/>
      <c r="I73" s="279"/>
      <c r="J73" s="272"/>
      <c r="K73" s="273" t="e">
        <f>$O$65*(P79-P69)</f>
        <v>#N/A</v>
      </c>
      <c r="L73" s="1054" t="s">
        <v>520</v>
      </c>
      <c r="N73" s="46"/>
      <c r="O73" s="129" t="e">
        <f>D32</f>
        <v>#N/A</v>
      </c>
      <c r="P73" s="47"/>
    </row>
    <row r="74" spans="1:18" s="11" customFormat="1" ht="5.0999999999999996" customHeight="1" x14ac:dyDescent="0.25">
      <c r="A74" s="19"/>
      <c r="B74" s="103"/>
      <c r="C74" s="18"/>
      <c r="D74" s="18"/>
      <c r="E74" s="18"/>
      <c r="F74" s="18"/>
      <c r="G74" s="263"/>
      <c r="H74" s="263"/>
      <c r="I74" s="263"/>
      <c r="J74" s="263"/>
      <c r="K74" s="18"/>
      <c r="L74" s="1056"/>
      <c r="M74" s="16"/>
      <c r="N74" s="43"/>
      <c r="O74" s="44"/>
      <c r="P74" s="45"/>
      <c r="Q74" s="16"/>
      <c r="R74" s="16"/>
    </row>
    <row r="75" spans="1:18" s="16" customFormat="1" ht="30" customHeight="1" x14ac:dyDescent="0.25">
      <c r="A75" s="19"/>
      <c r="B75" s="1270" t="s">
        <v>142</v>
      </c>
      <c r="C75" s="1271"/>
      <c r="D75" s="1271"/>
      <c r="E75" s="1271"/>
      <c r="F75" s="1271"/>
      <c r="G75" s="271"/>
      <c r="H75" s="271"/>
      <c r="I75" s="271"/>
      <c r="J75" s="272"/>
      <c r="K75" s="273" t="e">
        <f>$O$65*(P69-O67)</f>
        <v>#N/A</v>
      </c>
      <c r="L75" s="1054" t="s">
        <v>520</v>
      </c>
      <c r="N75" s="46"/>
      <c r="O75" s="49"/>
      <c r="P75" s="127" t="e">
        <f>F32</f>
        <v>#N/A</v>
      </c>
    </row>
    <row r="76" spans="1:18" s="11" customFormat="1" ht="5.0999999999999996" customHeight="1" x14ac:dyDescent="0.25">
      <c r="A76" s="19"/>
      <c r="B76" s="103"/>
      <c r="C76" s="18"/>
      <c r="D76" s="18"/>
      <c r="E76" s="275"/>
      <c r="F76" s="275"/>
      <c r="G76" s="263"/>
      <c r="H76" s="263"/>
      <c r="I76" s="263"/>
      <c r="J76" s="263"/>
      <c r="K76" s="18"/>
      <c r="L76" s="278"/>
      <c r="M76" s="41"/>
      <c r="N76" s="53"/>
      <c r="O76" s="44"/>
      <c r="P76" s="45"/>
      <c r="Q76" s="16"/>
      <c r="R76" s="16"/>
    </row>
    <row r="77" spans="1:18" s="16" customFormat="1" ht="30" customHeight="1" x14ac:dyDescent="0.25">
      <c r="A77" s="19"/>
      <c r="B77" s="1270" t="s">
        <v>143</v>
      </c>
      <c r="C77" s="1271"/>
      <c r="D77" s="1271"/>
      <c r="E77" s="282"/>
      <c r="F77" s="282"/>
      <c r="G77" s="279"/>
      <c r="H77" s="279"/>
      <c r="I77" s="279"/>
      <c r="J77" s="272"/>
      <c r="K77" s="283">
        <v>1</v>
      </c>
      <c r="L77" s="1054" t="s">
        <v>518</v>
      </c>
      <c r="M77" s="41"/>
      <c r="N77" s="46"/>
      <c r="O77" s="33">
        <f>D36</f>
        <v>-6.2863206736149993E-5</v>
      </c>
      <c r="P77" s="54">
        <f>F36</f>
        <v>-6.2863206736149993E-5</v>
      </c>
    </row>
    <row r="78" spans="1:18" s="11" customFormat="1" ht="5.0999999999999996" customHeight="1" x14ac:dyDescent="0.25">
      <c r="A78" s="13"/>
      <c r="B78" s="103"/>
      <c r="C78" s="18"/>
      <c r="D78" s="18"/>
      <c r="E78" s="275"/>
      <c r="F78" s="275"/>
      <c r="G78" s="263"/>
      <c r="H78" s="263"/>
      <c r="I78" s="263"/>
      <c r="J78" s="263"/>
      <c r="K78" s="18"/>
      <c r="L78" s="278"/>
      <c r="M78" s="41"/>
      <c r="N78" s="53"/>
      <c r="O78" s="44"/>
      <c r="P78" s="45"/>
      <c r="Q78" s="16"/>
      <c r="R78" s="16"/>
    </row>
    <row r="79" spans="1:18" s="16" customFormat="1" ht="30" customHeight="1" thickBot="1" x14ac:dyDescent="0.3">
      <c r="A79" s="19"/>
      <c r="B79" s="1270" t="s">
        <v>144</v>
      </c>
      <c r="C79" s="1271"/>
      <c r="D79" s="1271"/>
      <c r="E79" s="282"/>
      <c r="F79" s="282"/>
      <c r="G79" s="279"/>
      <c r="H79" s="279"/>
      <c r="I79" s="279"/>
      <c r="J79" s="272"/>
      <c r="K79" s="283">
        <v>1</v>
      </c>
      <c r="L79" s="1054" t="s">
        <v>518</v>
      </c>
      <c r="M79" s="41"/>
      <c r="N79" s="55"/>
      <c r="O79" s="49"/>
      <c r="P79" s="126" t="e">
        <f>F28</f>
        <v>#N/A</v>
      </c>
    </row>
    <row r="80" spans="1:18" s="11" customFormat="1" ht="5.0999999999999996" customHeight="1" x14ac:dyDescent="0.25">
      <c r="A80" s="19"/>
      <c r="B80" s="103"/>
      <c r="C80" s="18"/>
      <c r="D80" s="18"/>
      <c r="E80" s="275"/>
      <c r="F80" s="275"/>
      <c r="G80" s="263"/>
      <c r="H80" s="263"/>
      <c r="I80" s="263"/>
      <c r="J80" s="263"/>
      <c r="K80" s="18"/>
      <c r="L80" s="278"/>
      <c r="M80" s="41"/>
      <c r="Q80" s="16"/>
      <c r="R80" s="16"/>
    </row>
    <row r="81" spans="1:18" s="16" customFormat="1" ht="30" customHeight="1" x14ac:dyDescent="0.25">
      <c r="A81" s="19"/>
      <c r="B81" s="1270" t="s">
        <v>145</v>
      </c>
      <c r="C81" s="1271"/>
      <c r="D81" s="1271"/>
      <c r="E81" s="270"/>
      <c r="F81" s="270"/>
      <c r="G81" s="271"/>
      <c r="H81" s="271"/>
      <c r="I81" s="271"/>
      <c r="J81" s="272"/>
      <c r="K81" s="283">
        <v>1</v>
      </c>
      <c r="L81" s="1054" t="s">
        <v>518</v>
      </c>
      <c r="M81" s="41"/>
    </row>
    <row r="82" spans="1:18" s="16" customFormat="1" ht="5.0999999999999996" customHeight="1" x14ac:dyDescent="0.25">
      <c r="A82" s="19"/>
      <c r="B82" s="42"/>
      <c r="C82" s="19"/>
      <c r="D82" s="19"/>
      <c r="E82" s="19"/>
      <c r="F82" s="19"/>
      <c r="G82" s="19"/>
      <c r="H82" s="19"/>
      <c r="I82" s="19"/>
      <c r="J82" s="19"/>
      <c r="K82" s="19"/>
      <c r="L82" s="288"/>
      <c r="M82" s="41"/>
      <c r="N82" s="41"/>
      <c r="O82" s="57"/>
      <c r="P82" s="19"/>
    </row>
    <row r="83" spans="1:18" s="16" customFormat="1" ht="39.75" customHeight="1" thickBot="1" x14ac:dyDescent="0.3">
      <c r="A83" s="19"/>
      <c r="B83" s="1272" t="s">
        <v>282</v>
      </c>
      <c r="C83" s="1273"/>
      <c r="D83" s="1273"/>
      <c r="E83" s="1273"/>
      <c r="F83" s="1273"/>
      <c r="G83" s="289"/>
      <c r="H83" s="289"/>
      <c r="I83" s="289"/>
      <c r="J83" s="290"/>
      <c r="K83" s="291" t="e">
        <f>D35</f>
        <v>#N/A</v>
      </c>
      <c r="L83" s="292" t="s">
        <v>517</v>
      </c>
      <c r="M83" s="41"/>
    </row>
    <row r="84" spans="1:18" s="16" customFormat="1" ht="34.5" customHeight="1" thickBot="1" x14ac:dyDescent="0.3">
      <c r="A84" s="19"/>
      <c r="M84" s="41"/>
      <c r="N84" s="41"/>
      <c r="O84" s="57"/>
      <c r="P84" s="19"/>
    </row>
    <row r="85" spans="1:18" s="16" customFormat="1" ht="34.5" customHeight="1" thickBot="1" x14ac:dyDescent="0.3">
      <c r="A85" s="41"/>
      <c r="B85" s="1227" t="s">
        <v>146</v>
      </c>
      <c r="C85" s="1228"/>
      <c r="D85" s="1228"/>
      <c r="E85" s="1228"/>
      <c r="F85" s="1228"/>
      <c r="G85" s="1228"/>
      <c r="H85" s="1228"/>
      <c r="I85" s="1228"/>
      <c r="J85" s="1228"/>
      <c r="K85" s="1228"/>
      <c r="L85" s="1228"/>
      <c r="M85" s="1228"/>
      <c r="N85" s="1228"/>
      <c r="O85" s="1228"/>
      <c r="P85" s="1228"/>
      <c r="Q85" s="1229"/>
    </row>
    <row r="86" spans="1:18" s="11" customFormat="1" ht="39.950000000000003" customHeight="1" x14ac:dyDescent="0.25">
      <c r="B86" s="1316" t="s">
        <v>147</v>
      </c>
      <c r="C86" s="1317"/>
      <c r="D86" s="293" t="s">
        <v>239</v>
      </c>
      <c r="E86" s="1035" t="s">
        <v>148</v>
      </c>
      <c r="F86" s="293"/>
      <c r="G86" s="293" t="s">
        <v>149</v>
      </c>
      <c r="H86" s="1036" t="s">
        <v>150</v>
      </c>
      <c r="I86" s="293"/>
      <c r="J86" s="999" t="s">
        <v>151</v>
      </c>
      <c r="K86" s="293"/>
      <c r="L86" s="999" t="s">
        <v>152</v>
      </c>
      <c r="M86" s="293"/>
      <c r="N86" s="268" t="s">
        <v>240</v>
      </c>
      <c r="O86" s="268" t="s">
        <v>153</v>
      </c>
      <c r="P86" s="268" t="s">
        <v>154</v>
      </c>
      <c r="Q86" s="294" t="s">
        <v>155</v>
      </c>
    </row>
    <row r="87" spans="1:18" s="11" customFormat="1" ht="39.950000000000003" customHeight="1" x14ac:dyDescent="0.25">
      <c r="A87" s="16"/>
      <c r="B87" s="1279" t="s">
        <v>156</v>
      </c>
      <c r="C87" s="1280"/>
      <c r="D87" s="296" t="e">
        <f>C7</f>
        <v>#N/A</v>
      </c>
      <c r="E87" s="297"/>
      <c r="F87" s="297"/>
      <c r="G87" s="297"/>
      <c r="H87" s="297"/>
      <c r="I87" s="297"/>
      <c r="J87" s="297"/>
      <c r="K87" s="297"/>
      <c r="L87" s="297"/>
      <c r="M87" s="297"/>
      <c r="N87" s="298"/>
      <c r="O87" s="297"/>
      <c r="P87" s="297"/>
      <c r="Q87" s="299"/>
    </row>
    <row r="88" spans="1:18" s="57" customFormat="1" ht="39.950000000000003" customHeight="1" x14ac:dyDescent="0.25">
      <c r="B88" s="1277" t="s">
        <v>157</v>
      </c>
      <c r="C88" s="1278"/>
      <c r="D88" s="301"/>
      <c r="E88" s="58" t="e">
        <f>I7</f>
        <v>#N/A</v>
      </c>
      <c r="F88" s="1053" t="s">
        <v>4</v>
      </c>
      <c r="G88" s="58" t="e">
        <f>O7</f>
        <v>#N/A</v>
      </c>
      <c r="H88" s="58" t="e">
        <f>E88/G88</f>
        <v>#N/A</v>
      </c>
      <c r="I88" s="1053" t="s">
        <v>4</v>
      </c>
      <c r="J88" s="303" t="e">
        <f>K65</f>
        <v>#N/A</v>
      </c>
      <c r="K88" s="59" t="str">
        <f>L67</f>
        <v>mL°C-1</v>
      </c>
      <c r="L88" s="304" t="e">
        <f>H88*J88</f>
        <v>#N/A</v>
      </c>
      <c r="M88" s="59" t="s">
        <v>4</v>
      </c>
      <c r="N88" s="303" t="e">
        <f>L88^2</f>
        <v>#N/A</v>
      </c>
      <c r="O88" s="59" t="s">
        <v>20</v>
      </c>
      <c r="P88" s="59" t="s">
        <v>158</v>
      </c>
      <c r="Q88" s="60">
        <v>50</v>
      </c>
    </row>
    <row r="89" spans="1:18" s="11" customFormat="1" ht="39.950000000000003" customHeight="1" x14ac:dyDescent="0.25">
      <c r="A89" s="1347"/>
      <c r="B89" s="1277" t="s">
        <v>159</v>
      </c>
      <c r="C89" s="1278"/>
      <c r="D89" s="301"/>
      <c r="E89" s="303" t="e">
        <f>K7</f>
        <v>#N/A</v>
      </c>
      <c r="F89" s="302" t="s">
        <v>4</v>
      </c>
      <c r="G89" s="58">
        <f>SQRT(3)</f>
        <v>1.7320508075688772</v>
      </c>
      <c r="H89" s="58" t="e">
        <f>E89/G89</f>
        <v>#N/A</v>
      </c>
      <c r="I89" s="302" t="str">
        <f>F89</f>
        <v>mL</v>
      </c>
      <c r="J89" s="303" t="e">
        <f>K65</f>
        <v>#N/A</v>
      </c>
      <c r="K89" s="59" t="str">
        <f>L67</f>
        <v>mL°C-1</v>
      </c>
      <c r="L89" s="304" t="e">
        <f>H89*J89</f>
        <v>#N/A</v>
      </c>
      <c r="M89" s="59" t="s">
        <v>4</v>
      </c>
      <c r="N89" s="303" t="e">
        <f>L89^2</f>
        <v>#N/A</v>
      </c>
      <c r="O89" s="59" t="s">
        <v>20</v>
      </c>
      <c r="P89" s="59" t="s">
        <v>5</v>
      </c>
      <c r="Q89" s="60" t="s">
        <v>12</v>
      </c>
      <c r="R89" s="16"/>
    </row>
    <row r="90" spans="1:18" s="11" customFormat="1" ht="5.0999999999999996" customHeight="1" x14ac:dyDescent="0.25">
      <c r="A90" s="1347"/>
      <c r="B90" s="1348"/>
      <c r="C90" s="1349"/>
      <c r="D90" s="403"/>
      <c r="E90" s="305"/>
      <c r="F90" s="305"/>
      <c r="G90" s="305"/>
      <c r="H90" s="305"/>
      <c r="I90" s="305"/>
      <c r="J90" s="305"/>
      <c r="K90" s="305"/>
      <c r="L90" s="305"/>
      <c r="M90" s="305"/>
      <c r="N90" s="305"/>
      <c r="O90" s="305"/>
      <c r="P90" s="305"/>
      <c r="Q90" s="306"/>
      <c r="R90" s="16"/>
    </row>
    <row r="91" spans="1:18" s="57" customFormat="1" ht="39.950000000000003" customHeight="1" x14ac:dyDescent="0.25">
      <c r="B91" s="1312" t="s">
        <v>283</v>
      </c>
      <c r="C91" s="1313"/>
      <c r="D91" s="326" t="e">
        <f>C17</f>
        <v>#N/A</v>
      </c>
      <c r="E91" s="404"/>
      <c r="F91" s="305"/>
      <c r="G91" s="305"/>
      <c r="H91" s="305"/>
      <c r="I91" s="305"/>
      <c r="J91" s="305"/>
      <c r="K91" s="305"/>
      <c r="L91" s="305"/>
      <c r="M91" s="305"/>
      <c r="N91" s="305"/>
      <c r="O91" s="305"/>
      <c r="P91" s="305"/>
      <c r="Q91" s="306"/>
    </row>
    <row r="92" spans="1:18" s="11" customFormat="1" ht="39.950000000000003" customHeight="1" x14ac:dyDescent="0.25">
      <c r="A92" s="19"/>
      <c r="B92" s="1312" t="s">
        <v>284</v>
      </c>
      <c r="C92" s="1313"/>
      <c r="D92" s="307"/>
      <c r="E92" s="304" t="e">
        <f>I17</f>
        <v>#N/A</v>
      </c>
      <c r="F92" s="308" t="str">
        <f>F18</f>
        <v>mL</v>
      </c>
      <c r="G92" s="309" t="e">
        <f>O18</f>
        <v>#N/A</v>
      </c>
      <c r="H92" s="304" t="e">
        <f>+E92/G92</f>
        <v>#N/A</v>
      </c>
      <c r="I92" s="308" t="str">
        <f>F92</f>
        <v>mL</v>
      </c>
      <c r="J92" s="310" t="e">
        <f>+K83</f>
        <v>#N/A</v>
      </c>
      <c r="K92" s="308"/>
      <c r="L92" s="311" t="e">
        <f>H92*J92</f>
        <v>#N/A</v>
      </c>
      <c r="M92" s="308" t="s">
        <v>4</v>
      </c>
      <c r="N92" s="311" t="e">
        <f>L92^2</f>
        <v>#N/A</v>
      </c>
      <c r="O92" s="59" t="s">
        <v>20</v>
      </c>
      <c r="P92" s="59" t="s">
        <v>158</v>
      </c>
      <c r="Q92" s="60">
        <v>50</v>
      </c>
      <c r="R92" s="16"/>
    </row>
    <row r="93" spans="1:18" s="57" customFormat="1" ht="39.950000000000003" customHeight="1" x14ac:dyDescent="0.25">
      <c r="B93" s="1312" t="s">
        <v>285</v>
      </c>
      <c r="C93" s="1313"/>
      <c r="D93" s="307"/>
      <c r="E93" s="304" t="e">
        <f>E17</f>
        <v>#N/A</v>
      </c>
      <c r="F93" s="308" t="str">
        <f>F18</f>
        <v>mL</v>
      </c>
      <c r="G93" s="304">
        <f>SQRT(12)</f>
        <v>3.4641016151377544</v>
      </c>
      <c r="H93" s="304" t="e">
        <f>+E93/G93</f>
        <v>#N/A</v>
      </c>
      <c r="I93" s="308" t="str">
        <f t="shared" ref="I93" si="6">F93</f>
        <v>mL</v>
      </c>
      <c r="J93" s="310" t="e">
        <f>+K83</f>
        <v>#N/A</v>
      </c>
      <c r="K93" s="308"/>
      <c r="L93" s="332" t="e">
        <f>H93*J93</f>
        <v>#N/A</v>
      </c>
      <c r="M93" s="308" t="s">
        <v>4</v>
      </c>
      <c r="N93" s="332" t="e">
        <f t="shared" ref="N93" si="7">L93^2</f>
        <v>#N/A</v>
      </c>
      <c r="O93" s="59" t="s">
        <v>20</v>
      </c>
      <c r="P93" s="59" t="s">
        <v>5</v>
      </c>
      <c r="Q93" s="60" t="s">
        <v>12</v>
      </c>
    </row>
    <row r="94" spans="1:18" s="11" customFormat="1" ht="39.950000000000003" customHeight="1" x14ac:dyDescent="0.25">
      <c r="A94" s="19"/>
      <c r="B94" s="1312" t="s">
        <v>286</v>
      </c>
      <c r="C94" s="1313"/>
      <c r="D94" s="307"/>
      <c r="E94" s="304" t="e">
        <f>K17</f>
        <v>#N/A</v>
      </c>
      <c r="F94" s="308" t="str">
        <f>F18</f>
        <v>mL</v>
      </c>
      <c r="G94" s="303" t="e">
        <f>K17</f>
        <v>#N/A</v>
      </c>
      <c r="H94" s="312" t="e">
        <f>E94/G94</f>
        <v>#N/A</v>
      </c>
      <c r="I94" s="308" t="str">
        <f>F94</f>
        <v>mL</v>
      </c>
      <c r="J94" s="310" t="e">
        <f>+K83</f>
        <v>#N/A</v>
      </c>
      <c r="K94" s="308"/>
      <c r="L94" s="310" t="e">
        <f t="shared" ref="L94" si="8">H94*J94</f>
        <v>#N/A</v>
      </c>
      <c r="M94" s="308" t="s">
        <v>4</v>
      </c>
      <c r="N94" s="313" t="e">
        <f>L94^2</f>
        <v>#N/A</v>
      </c>
      <c r="O94" s="59" t="s">
        <v>20</v>
      </c>
      <c r="P94" s="59" t="s">
        <v>5</v>
      </c>
      <c r="Q94" s="60" t="s">
        <v>12</v>
      </c>
      <c r="R94" s="16"/>
    </row>
    <row r="95" spans="1:18" s="11" customFormat="1" ht="5.0999999999999996" customHeight="1" x14ac:dyDescent="0.25">
      <c r="A95" s="19"/>
      <c r="B95" s="314"/>
      <c r="C95" s="315"/>
      <c r="D95" s="316"/>
      <c r="E95" s="317"/>
      <c r="F95" s="318"/>
      <c r="G95" s="319"/>
      <c r="H95" s="320"/>
      <c r="I95" s="321"/>
      <c r="J95" s="322"/>
      <c r="K95" s="323"/>
      <c r="L95" s="320"/>
      <c r="M95" s="320"/>
      <c r="N95" s="324"/>
      <c r="O95" s="320"/>
      <c r="P95" s="320"/>
      <c r="Q95" s="325"/>
      <c r="R95" s="16"/>
    </row>
    <row r="96" spans="1:18" s="11" customFormat="1" ht="39.950000000000003" customHeight="1" x14ac:dyDescent="0.25">
      <c r="A96" s="19"/>
      <c r="B96" s="1312" t="s">
        <v>160</v>
      </c>
      <c r="C96" s="1313"/>
      <c r="D96" s="326">
        <f>G46</f>
        <v>5.5000000000000005E-3</v>
      </c>
      <c r="E96" s="327">
        <f>G46</f>
        <v>5.5000000000000005E-3</v>
      </c>
      <c r="F96" s="302" t="s">
        <v>3</v>
      </c>
      <c r="G96" s="305"/>
      <c r="H96" s="305"/>
      <c r="I96" s="305"/>
      <c r="J96" s="328"/>
      <c r="K96" s="305"/>
      <c r="L96" s="305"/>
      <c r="M96" s="305"/>
      <c r="N96" s="305"/>
      <c r="O96" s="305"/>
      <c r="P96" s="305"/>
      <c r="Q96" s="306"/>
      <c r="R96" s="16"/>
    </row>
    <row r="97" spans="1:90" s="11" customFormat="1" ht="39.950000000000003" customHeight="1" x14ac:dyDescent="0.25">
      <c r="A97" s="19"/>
      <c r="B97" s="1312" t="s">
        <v>161</v>
      </c>
      <c r="C97" s="1313"/>
      <c r="D97" s="307"/>
      <c r="E97" s="58" t="e">
        <f>E9</f>
        <v>#N/A</v>
      </c>
      <c r="F97" s="302" t="s">
        <v>3</v>
      </c>
      <c r="G97" s="58">
        <f>SQRT(12)</f>
        <v>3.4641016151377544</v>
      </c>
      <c r="H97" s="58" t="e">
        <f>E97/G97</f>
        <v>#N/A</v>
      </c>
      <c r="I97" s="1057" t="s">
        <v>3</v>
      </c>
      <c r="J97" s="310" t="e">
        <f>K67</f>
        <v>#N/A</v>
      </c>
      <c r="K97" s="59" t="s">
        <v>22</v>
      </c>
      <c r="L97" s="58" t="e">
        <f t="shared" ref="L97:L110" si="9">H97*J97</f>
        <v>#N/A</v>
      </c>
      <c r="M97" s="59" t="s">
        <v>4</v>
      </c>
      <c r="N97" s="405" t="e">
        <f t="shared" ref="N97:N110" si="10">L97^2</f>
        <v>#N/A</v>
      </c>
      <c r="O97" s="59" t="s">
        <v>21</v>
      </c>
      <c r="P97" s="59" t="s">
        <v>5</v>
      </c>
      <c r="Q97" s="60" t="s">
        <v>12</v>
      </c>
      <c r="R97" s="16"/>
    </row>
    <row r="98" spans="1:90" s="57" customFormat="1" ht="39.950000000000003" customHeight="1" x14ac:dyDescent="0.25">
      <c r="B98" s="1312" t="s">
        <v>162</v>
      </c>
      <c r="C98" s="1313"/>
      <c r="D98" s="307"/>
      <c r="E98" s="327" t="e">
        <f>I9</f>
        <v>#N/A</v>
      </c>
      <c r="F98" s="302" t="str">
        <f>F12</f>
        <v>°C</v>
      </c>
      <c r="G98" s="58" t="e">
        <f>O9</f>
        <v>#N/A</v>
      </c>
      <c r="H98" s="58" t="e">
        <f t="shared" ref="H98:H110" si="11">E98/G98</f>
        <v>#N/A</v>
      </c>
      <c r="I98" s="1057" t="s">
        <v>3</v>
      </c>
      <c r="J98" s="310" t="e">
        <f>K67</f>
        <v>#N/A</v>
      </c>
      <c r="K98" s="59" t="s">
        <v>22</v>
      </c>
      <c r="L98" s="58" t="e">
        <f t="shared" si="9"/>
        <v>#N/A</v>
      </c>
      <c r="M98" s="59" t="s">
        <v>4</v>
      </c>
      <c r="N98" s="58" t="e">
        <f t="shared" si="10"/>
        <v>#N/A</v>
      </c>
      <c r="O98" s="59" t="s">
        <v>20</v>
      </c>
      <c r="P98" s="59" t="s">
        <v>158</v>
      </c>
      <c r="Q98" s="60">
        <v>50</v>
      </c>
    </row>
    <row r="99" spans="1:90" s="11" customFormat="1" ht="39.950000000000003" customHeight="1" x14ac:dyDescent="0.25">
      <c r="A99" s="19"/>
      <c r="B99" s="1312" t="s">
        <v>159</v>
      </c>
      <c r="C99" s="1313"/>
      <c r="D99" s="307"/>
      <c r="E99" s="330" t="e">
        <f>K9</f>
        <v>#N/A</v>
      </c>
      <c r="F99" s="302" t="str">
        <f>F12</f>
        <v>°C</v>
      </c>
      <c r="G99" s="58">
        <f>SQRT(3)</f>
        <v>1.7320508075688772</v>
      </c>
      <c r="H99" s="58" t="e">
        <f t="shared" si="11"/>
        <v>#N/A</v>
      </c>
      <c r="I99" s="1057" t="s">
        <v>3</v>
      </c>
      <c r="J99" s="310" t="e">
        <f>K67</f>
        <v>#N/A</v>
      </c>
      <c r="K99" s="59" t="s">
        <v>22</v>
      </c>
      <c r="L99" s="58" t="e">
        <f t="shared" si="9"/>
        <v>#N/A</v>
      </c>
      <c r="M99" s="59" t="s">
        <v>4</v>
      </c>
      <c r="N99" s="58" t="e">
        <f t="shared" si="10"/>
        <v>#N/A</v>
      </c>
      <c r="O99" s="59" t="s">
        <v>20</v>
      </c>
      <c r="P99" s="59" t="s">
        <v>5</v>
      </c>
      <c r="Q99" s="60" t="s">
        <v>12</v>
      </c>
      <c r="R99" s="16"/>
    </row>
    <row r="100" spans="1:90" s="11" customFormat="1" ht="39.950000000000003" customHeight="1" x14ac:dyDescent="0.25">
      <c r="A100" s="19"/>
      <c r="B100" s="1312" t="s">
        <v>163</v>
      </c>
      <c r="C100" s="1313"/>
      <c r="D100" s="307"/>
      <c r="E100" s="327">
        <f>(MAX(D43:D45)-(MIN(D43:D45)))</f>
        <v>0</v>
      </c>
      <c r="F100" s="302" t="str">
        <f>F12</f>
        <v>°C</v>
      </c>
      <c r="G100" s="58">
        <f>SQRT(12)</f>
        <v>3.4641016151377544</v>
      </c>
      <c r="H100" s="58">
        <f t="shared" si="11"/>
        <v>0</v>
      </c>
      <c r="I100" s="1057" t="s">
        <v>3</v>
      </c>
      <c r="J100" s="310" t="e">
        <f>K67</f>
        <v>#N/A</v>
      </c>
      <c r="K100" s="59" t="s">
        <v>22</v>
      </c>
      <c r="L100" s="58" t="e">
        <f t="shared" si="9"/>
        <v>#N/A</v>
      </c>
      <c r="M100" s="59" t="s">
        <v>4</v>
      </c>
      <c r="N100" s="58" t="e">
        <f t="shared" si="10"/>
        <v>#N/A</v>
      </c>
      <c r="O100" s="59" t="s">
        <v>21</v>
      </c>
      <c r="P100" s="59" t="s">
        <v>5</v>
      </c>
      <c r="Q100" s="60" t="s">
        <v>12</v>
      </c>
      <c r="R100" s="16"/>
    </row>
    <row r="101" spans="1:90" s="11" customFormat="1" ht="39.950000000000003" customHeight="1" x14ac:dyDescent="0.25">
      <c r="A101" s="19"/>
      <c r="B101" s="1312" t="s">
        <v>164</v>
      </c>
      <c r="C101" s="1313"/>
      <c r="D101" s="326">
        <f>M46</f>
        <v>-2.9000000000000001E-2</v>
      </c>
      <c r="E101" s="327">
        <f>M49</f>
        <v>0</v>
      </c>
      <c r="F101" s="302" t="str">
        <f>F12</f>
        <v>°C</v>
      </c>
      <c r="G101" s="305"/>
      <c r="H101" s="305"/>
      <c r="I101" s="1058"/>
      <c r="J101" s="328"/>
      <c r="K101" s="305"/>
      <c r="L101" s="305"/>
      <c r="M101" s="305"/>
      <c r="N101" s="305"/>
      <c r="O101" s="305"/>
      <c r="P101" s="305"/>
      <c r="Q101" s="306"/>
      <c r="R101" s="16"/>
    </row>
    <row r="102" spans="1:90" s="11" customFormat="1" ht="39.950000000000003" customHeight="1" x14ac:dyDescent="0.25">
      <c r="A102" s="19"/>
      <c r="B102" s="1312" t="s">
        <v>161</v>
      </c>
      <c r="C102" s="1313"/>
      <c r="D102" s="307" t="e">
        <f>E12</f>
        <v>#N/A</v>
      </c>
      <c r="E102" s="58" t="e">
        <f>E12</f>
        <v>#N/A</v>
      </c>
      <c r="F102" s="59" t="str">
        <f>F12</f>
        <v>°C</v>
      </c>
      <c r="G102" s="58">
        <f>SQRT(12)</f>
        <v>3.4641016151377544</v>
      </c>
      <c r="H102" s="58" t="e">
        <f t="shared" si="11"/>
        <v>#N/A</v>
      </c>
      <c r="I102" s="1057" t="s">
        <v>3</v>
      </c>
      <c r="J102" s="303" t="e">
        <f>K69</f>
        <v>#N/A</v>
      </c>
      <c r="K102" s="59" t="s">
        <v>22</v>
      </c>
      <c r="L102" s="58" t="e">
        <f t="shared" si="9"/>
        <v>#N/A</v>
      </c>
      <c r="M102" s="59" t="s">
        <v>4</v>
      </c>
      <c r="N102" s="58" t="e">
        <f t="shared" si="10"/>
        <v>#N/A</v>
      </c>
      <c r="O102" s="59" t="s">
        <v>21</v>
      </c>
      <c r="P102" s="59" t="s">
        <v>5</v>
      </c>
      <c r="Q102" s="60" t="s">
        <v>12</v>
      </c>
      <c r="R102" s="16"/>
    </row>
    <row r="103" spans="1:90" s="57" customFormat="1" ht="39.950000000000003" customHeight="1" x14ac:dyDescent="0.25">
      <c r="B103" s="1312" t="s">
        <v>162</v>
      </c>
      <c r="C103" s="1313"/>
      <c r="D103" s="307"/>
      <c r="E103" s="58" t="e">
        <f>I13</f>
        <v>#N/A</v>
      </c>
      <c r="F103" s="302" t="str">
        <f>F12</f>
        <v>°C</v>
      </c>
      <c r="G103" s="58" t="e">
        <f>O12</f>
        <v>#N/A</v>
      </c>
      <c r="H103" s="58" t="e">
        <f t="shared" si="11"/>
        <v>#N/A</v>
      </c>
      <c r="I103" s="1057" t="s">
        <v>3</v>
      </c>
      <c r="J103" s="303" t="e">
        <f>K69</f>
        <v>#N/A</v>
      </c>
      <c r="K103" s="59" t="s">
        <v>22</v>
      </c>
      <c r="L103" s="58" t="e">
        <f>H103*J103</f>
        <v>#N/A</v>
      </c>
      <c r="M103" s="59" t="s">
        <v>4</v>
      </c>
      <c r="N103" s="58" t="e">
        <f>L103^2</f>
        <v>#N/A</v>
      </c>
      <c r="O103" s="59" t="s">
        <v>20</v>
      </c>
      <c r="P103" s="59" t="s">
        <v>158</v>
      </c>
      <c r="Q103" s="60">
        <v>50</v>
      </c>
    </row>
    <row r="104" spans="1:90" s="11" customFormat="1" ht="39.950000000000003" customHeight="1" x14ac:dyDescent="0.25">
      <c r="A104" s="19"/>
      <c r="B104" s="1312" t="s">
        <v>159</v>
      </c>
      <c r="C104" s="1313"/>
      <c r="D104" s="331"/>
      <c r="E104" s="330" t="e">
        <f>K13</f>
        <v>#N/A</v>
      </c>
      <c r="F104" s="302" t="str">
        <f>F12</f>
        <v>°C</v>
      </c>
      <c r="G104" s="58">
        <f>SQRT(3)</f>
        <v>1.7320508075688772</v>
      </c>
      <c r="H104" s="58" t="e">
        <f t="shared" si="11"/>
        <v>#N/A</v>
      </c>
      <c r="I104" s="1057" t="s">
        <v>3</v>
      </c>
      <c r="J104" s="303" t="e">
        <f>K69</f>
        <v>#N/A</v>
      </c>
      <c r="K104" s="59" t="s">
        <v>22</v>
      </c>
      <c r="L104" s="58" t="e">
        <f t="shared" si="9"/>
        <v>#N/A</v>
      </c>
      <c r="M104" s="59" t="s">
        <v>4</v>
      </c>
      <c r="N104" s="58" t="e">
        <f t="shared" si="10"/>
        <v>#N/A</v>
      </c>
      <c r="O104" s="59" t="s">
        <v>20</v>
      </c>
      <c r="P104" s="59" t="s">
        <v>5</v>
      </c>
      <c r="Q104" s="60" t="s">
        <v>12</v>
      </c>
      <c r="R104" s="16"/>
    </row>
    <row r="105" spans="1:90" s="11" customFormat="1" ht="39.950000000000003" customHeight="1" x14ac:dyDescent="0.25">
      <c r="A105" s="19"/>
      <c r="B105" s="1312" t="s">
        <v>163</v>
      </c>
      <c r="C105" s="1313"/>
      <c r="D105" s="301"/>
      <c r="E105" s="332">
        <f>(MAX(J43:J45)-(MIN(J43:J45)))</f>
        <v>0</v>
      </c>
      <c r="F105" s="302" t="str">
        <f>F12</f>
        <v>°C</v>
      </c>
      <c r="G105" s="58">
        <f>SQRT(12)</f>
        <v>3.4641016151377544</v>
      </c>
      <c r="H105" s="58">
        <f t="shared" si="11"/>
        <v>0</v>
      </c>
      <c r="I105" s="1057" t="s">
        <v>3</v>
      </c>
      <c r="J105" s="303" t="e">
        <f>K69</f>
        <v>#N/A</v>
      </c>
      <c r="K105" s="59" t="s">
        <v>22</v>
      </c>
      <c r="L105" s="58" t="e">
        <f t="shared" si="9"/>
        <v>#N/A</v>
      </c>
      <c r="M105" s="59" t="s">
        <v>4</v>
      </c>
      <c r="N105" s="58" t="e">
        <f t="shared" si="10"/>
        <v>#N/A</v>
      </c>
      <c r="O105" s="59" t="s">
        <v>21</v>
      </c>
      <c r="P105" s="59" t="s">
        <v>5</v>
      </c>
      <c r="Q105" s="60" t="s">
        <v>12</v>
      </c>
      <c r="R105" s="16"/>
    </row>
    <row r="106" spans="1:90" s="11" customFormat="1" ht="39.950000000000003" customHeight="1" x14ac:dyDescent="0.25">
      <c r="A106" s="19"/>
      <c r="B106" s="1312" t="s">
        <v>253</v>
      </c>
      <c r="C106" s="1313"/>
      <c r="D106" s="333">
        <f>D36</f>
        <v>-6.2863206736149993E-5</v>
      </c>
      <c r="E106" s="334">
        <f>D36</f>
        <v>-6.2863206736149993E-5</v>
      </c>
      <c r="F106" s="59" t="s">
        <v>11</v>
      </c>
      <c r="G106" s="305"/>
      <c r="H106" s="305"/>
      <c r="I106" s="1067"/>
      <c r="J106" s="328"/>
      <c r="K106" s="305"/>
      <c r="L106" s="305"/>
      <c r="M106" s="305"/>
      <c r="N106" s="305"/>
      <c r="O106" s="305"/>
      <c r="P106" s="305"/>
      <c r="Q106" s="306"/>
      <c r="R106" s="16"/>
    </row>
    <row r="107" spans="1:90" s="57" customFormat="1" ht="39.950000000000003" customHeight="1" x14ac:dyDescent="0.25">
      <c r="A107" s="19"/>
      <c r="B107" s="1312" t="s">
        <v>165</v>
      </c>
      <c r="C107" s="1313"/>
      <c r="D107" s="301"/>
      <c r="E107" s="58">
        <f>(D36*5)/100</f>
        <v>-3.1431603368074993E-6</v>
      </c>
      <c r="F107" s="59" t="s">
        <v>11</v>
      </c>
      <c r="G107" s="58">
        <f>SQRT(3)</f>
        <v>1.7320508075688772</v>
      </c>
      <c r="H107" s="58">
        <f t="shared" si="11"/>
        <v>-1.8147044665619647E-6</v>
      </c>
      <c r="I107" s="1052" t="s">
        <v>517</v>
      </c>
      <c r="J107" s="303" t="e">
        <f>K75</f>
        <v>#N/A</v>
      </c>
      <c r="K107" s="1061" t="s">
        <v>520</v>
      </c>
      <c r="L107" s="58" t="e">
        <f t="shared" si="9"/>
        <v>#N/A</v>
      </c>
      <c r="M107" s="59" t="s">
        <v>4</v>
      </c>
      <c r="N107" s="58" t="e">
        <f t="shared" si="10"/>
        <v>#N/A</v>
      </c>
      <c r="O107" s="59" t="s">
        <v>166</v>
      </c>
      <c r="P107" s="59" t="s">
        <v>5</v>
      </c>
      <c r="Q107" s="60" t="s">
        <v>12</v>
      </c>
      <c r="S107" s="11"/>
    </row>
    <row r="108" spans="1:90" s="65" customFormat="1" ht="39.950000000000003" customHeight="1" x14ac:dyDescent="0.25">
      <c r="A108" s="19"/>
      <c r="B108" s="1312" t="s">
        <v>167</v>
      </c>
      <c r="C108" s="1313"/>
      <c r="D108" s="335" t="s">
        <v>1</v>
      </c>
      <c r="E108" s="334" t="e">
        <f>(D32*5)/100</f>
        <v>#N/A</v>
      </c>
      <c r="F108" s="59" t="s">
        <v>11</v>
      </c>
      <c r="G108" s="58">
        <f>SQRT(3)</f>
        <v>1.7320508075688772</v>
      </c>
      <c r="H108" s="58" t="e">
        <f t="shared" si="11"/>
        <v>#N/A</v>
      </c>
      <c r="I108" s="1052" t="s">
        <v>517</v>
      </c>
      <c r="J108" s="327" t="e">
        <f>K71</f>
        <v>#N/A</v>
      </c>
      <c r="K108" s="1061" t="s">
        <v>520</v>
      </c>
      <c r="L108" s="58" t="e">
        <f t="shared" si="9"/>
        <v>#N/A</v>
      </c>
      <c r="M108" s="59" t="s">
        <v>4</v>
      </c>
      <c r="N108" s="58" t="e">
        <f t="shared" si="10"/>
        <v>#N/A</v>
      </c>
      <c r="O108" s="59" t="s">
        <v>168</v>
      </c>
      <c r="P108" s="59" t="s">
        <v>5</v>
      </c>
      <c r="Q108" s="60" t="s">
        <v>12</v>
      </c>
      <c r="R108" s="64"/>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row>
    <row r="109" spans="1:90" s="57" customFormat="1" ht="39.950000000000003" customHeight="1" x14ac:dyDescent="0.25">
      <c r="B109" s="1312" t="s">
        <v>169</v>
      </c>
      <c r="C109" s="1313"/>
      <c r="D109" s="335" t="s">
        <v>0</v>
      </c>
      <c r="E109" s="334" t="e">
        <f>(F32*5)/100</f>
        <v>#N/A</v>
      </c>
      <c r="F109" s="59" t="s">
        <v>11</v>
      </c>
      <c r="G109" s="58">
        <f>SQRT(3)</f>
        <v>1.7320508075688772</v>
      </c>
      <c r="H109" s="58" t="e">
        <f t="shared" si="11"/>
        <v>#N/A</v>
      </c>
      <c r="I109" s="1052" t="s">
        <v>517</v>
      </c>
      <c r="J109" s="327" t="e">
        <f>K73</f>
        <v>#N/A</v>
      </c>
      <c r="K109" s="1061" t="s">
        <v>520</v>
      </c>
      <c r="L109" s="58" t="e">
        <f t="shared" si="9"/>
        <v>#N/A</v>
      </c>
      <c r="M109" s="59" t="s">
        <v>4</v>
      </c>
      <c r="N109" s="58" t="e">
        <f t="shared" si="10"/>
        <v>#N/A</v>
      </c>
      <c r="O109" s="59" t="s">
        <v>170</v>
      </c>
      <c r="P109" s="59" t="s">
        <v>5</v>
      </c>
      <c r="Q109" s="60" t="s">
        <v>12</v>
      </c>
    </row>
    <row r="110" spans="1:90" s="11" customFormat="1" ht="39.950000000000003" customHeight="1" thickBot="1" x14ac:dyDescent="0.3">
      <c r="A110" s="16"/>
      <c r="B110" s="1312" t="s">
        <v>169</v>
      </c>
      <c r="C110" s="1313"/>
      <c r="D110" s="406" t="s">
        <v>34</v>
      </c>
      <c r="E110" s="407">
        <f>((0.0000099*0.075)/(SQRT(12)))</f>
        <v>2.1434128743664856E-7</v>
      </c>
      <c r="F110" s="61" t="s">
        <v>11</v>
      </c>
      <c r="G110" s="62">
        <f>SQRT(3)</f>
        <v>1.7320508075688772</v>
      </c>
      <c r="H110" s="408">
        <f t="shared" si="11"/>
        <v>1.2375000000000001E-7</v>
      </c>
      <c r="I110" s="1052" t="s">
        <v>517</v>
      </c>
      <c r="J110" s="409" t="e">
        <f>D35</f>
        <v>#N/A</v>
      </c>
      <c r="K110" s="1061" t="s">
        <v>520</v>
      </c>
      <c r="L110" s="410" t="e">
        <f t="shared" si="9"/>
        <v>#N/A</v>
      </c>
      <c r="M110" s="61" t="s">
        <v>4</v>
      </c>
      <c r="N110" s="411" t="e">
        <f t="shared" si="10"/>
        <v>#N/A</v>
      </c>
      <c r="O110" s="61" t="s">
        <v>170</v>
      </c>
      <c r="P110" s="61" t="s">
        <v>5</v>
      </c>
      <c r="Q110" s="63" t="s">
        <v>12</v>
      </c>
    </row>
    <row r="111" spans="1:90" s="11" customFormat="1" ht="30" customHeight="1" thickBot="1" x14ac:dyDescent="0.3">
      <c r="A111" s="41"/>
      <c r="R111" s="16"/>
    </row>
    <row r="112" spans="1:90" s="11" customFormat="1" ht="30" customHeight="1" thickBot="1" x14ac:dyDescent="0.3">
      <c r="A112" s="41"/>
      <c r="B112" s="1318" t="s">
        <v>171</v>
      </c>
      <c r="C112" s="1319"/>
      <c r="D112" s="1319"/>
      <c r="E112" s="1319"/>
      <c r="F112" s="1319"/>
      <c r="G112" s="1319"/>
      <c r="H112" s="1319"/>
      <c r="I112" s="1319"/>
      <c r="J112" s="1319"/>
      <c r="K112" s="1319"/>
      <c r="L112" s="1319"/>
      <c r="M112" s="1319"/>
      <c r="N112" s="1319"/>
      <c r="O112" s="1319"/>
      <c r="P112" s="1319"/>
      <c r="Q112" s="1320"/>
      <c r="R112" s="16"/>
    </row>
    <row r="113" spans="1:31" s="11" customFormat="1" ht="30" customHeight="1" x14ac:dyDescent="0.25">
      <c r="A113" s="19"/>
      <c r="B113" s="1342" t="s">
        <v>172</v>
      </c>
      <c r="C113" s="1343"/>
      <c r="D113" s="79"/>
      <c r="E113" s="66" t="e">
        <f>(3.1416*(D33)^2/4)*D34</f>
        <v>#N/A</v>
      </c>
      <c r="F113" s="67" t="s">
        <v>4</v>
      </c>
      <c r="G113" s="66">
        <f>SQRT(3)</f>
        <v>1.7320508075688772</v>
      </c>
      <c r="H113" s="66" t="e">
        <f>E113/G113</f>
        <v>#N/A</v>
      </c>
      <c r="I113" s="67" t="s">
        <v>4</v>
      </c>
      <c r="J113" s="66">
        <v>1</v>
      </c>
      <c r="K113" s="67"/>
      <c r="L113" s="66" t="e">
        <f>H113*J113</f>
        <v>#N/A</v>
      </c>
      <c r="M113" s="67" t="s">
        <v>4</v>
      </c>
      <c r="N113" s="66" t="e">
        <f>L113^2</f>
        <v>#N/A</v>
      </c>
      <c r="O113" s="67" t="s">
        <v>19</v>
      </c>
      <c r="P113" s="67" t="s">
        <v>5</v>
      </c>
      <c r="Q113" s="68" t="s">
        <v>12</v>
      </c>
      <c r="R113" s="16"/>
    </row>
    <row r="114" spans="1:31" s="11" customFormat="1" ht="30" customHeight="1" x14ac:dyDescent="0.25">
      <c r="B114" s="1269" t="s">
        <v>173</v>
      </c>
      <c r="C114" s="1247"/>
      <c r="D114" s="77"/>
      <c r="E114" s="1060" t="e">
        <f>((3.1416*(F33)^2)/4)*F34</f>
        <v>#N/A</v>
      </c>
      <c r="F114" s="59" t="s">
        <v>4</v>
      </c>
      <c r="G114" s="58">
        <f>SQRT(3)</f>
        <v>1.7320508075688772</v>
      </c>
      <c r="H114" s="58" t="e">
        <f>E114/G114</f>
        <v>#N/A</v>
      </c>
      <c r="I114" s="59" t="s">
        <v>4</v>
      </c>
      <c r="J114" s="58">
        <v>1</v>
      </c>
      <c r="K114" s="59"/>
      <c r="L114" s="58" t="e">
        <f>H114*J114</f>
        <v>#N/A</v>
      </c>
      <c r="M114" s="59" t="s">
        <v>4</v>
      </c>
      <c r="N114" s="58" t="e">
        <f>L114^2</f>
        <v>#N/A</v>
      </c>
      <c r="O114" s="59" t="s">
        <v>19</v>
      </c>
      <c r="P114" s="59" t="s">
        <v>5</v>
      </c>
      <c r="Q114" s="60" t="s">
        <v>12</v>
      </c>
      <c r="R114" s="16"/>
    </row>
    <row r="115" spans="1:31" s="15" customFormat="1" ht="39.950000000000003" customHeight="1" x14ac:dyDescent="0.25">
      <c r="A115" s="13"/>
      <c r="B115" s="1269" t="s">
        <v>174</v>
      </c>
      <c r="C115" s="1247"/>
      <c r="D115" s="77"/>
      <c r="E115" s="337" t="e">
        <f>H58</f>
        <v>#N/A</v>
      </c>
      <c r="F115" s="59" t="s">
        <v>4</v>
      </c>
      <c r="G115" s="332">
        <f>SQRT(5)</f>
        <v>2.2360679774997898</v>
      </c>
      <c r="H115" s="303" t="e">
        <f>E115/G115</f>
        <v>#N/A</v>
      </c>
      <c r="I115" s="59" t="s">
        <v>4</v>
      </c>
      <c r="J115" s="82">
        <v>1</v>
      </c>
      <c r="K115" s="59"/>
      <c r="L115" s="58" t="e">
        <f>H115*J115</f>
        <v>#N/A</v>
      </c>
      <c r="M115" s="59" t="s">
        <v>4</v>
      </c>
      <c r="N115" s="327" t="e">
        <f>L115^2</f>
        <v>#N/A</v>
      </c>
      <c r="O115" s="59" t="s">
        <v>6</v>
      </c>
      <c r="P115" s="59" t="s">
        <v>158</v>
      </c>
      <c r="Q115" s="60">
        <f>B45-1</f>
        <v>2</v>
      </c>
    </row>
    <row r="116" spans="1:31" s="18" customFormat="1" ht="30" customHeight="1" thickBot="1" x14ac:dyDescent="0.3">
      <c r="A116" s="130" t="s">
        <v>175</v>
      </c>
      <c r="B116" s="1340" t="s">
        <v>176</v>
      </c>
      <c r="C116" s="1341"/>
      <c r="D116" s="78"/>
      <c r="E116" s="1059">
        <f>O67/10000</f>
        <v>5.5000000000000003E-7</v>
      </c>
      <c r="F116" s="61" t="s">
        <v>4</v>
      </c>
      <c r="G116" s="1059">
        <f>SQRT(3)</f>
        <v>1.7320508075688772</v>
      </c>
      <c r="H116" s="62">
        <f>E116/G116</f>
        <v>3.1754264805429422E-7</v>
      </c>
      <c r="I116" s="61" t="s">
        <v>4</v>
      </c>
      <c r="J116" s="62">
        <v>1</v>
      </c>
      <c r="K116" s="61"/>
      <c r="L116" s="62">
        <f>H116*J116</f>
        <v>3.1754264805429422E-7</v>
      </c>
      <c r="M116" s="61" t="s">
        <v>4</v>
      </c>
      <c r="N116" s="102">
        <v>1.9321000000000004</v>
      </c>
      <c r="O116" s="61" t="s">
        <v>177</v>
      </c>
      <c r="P116" s="61" t="s">
        <v>5</v>
      </c>
      <c r="Q116" s="63" t="s">
        <v>12</v>
      </c>
      <c r="R116" s="70"/>
    </row>
    <row r="117" spans="1:31" s="18" customFormat="1" ht="45.75" customHeight="1" thickBot="1" x14ac:dyDescent="0.3">
      <c r="A117" s="19"/>
      <c r="L117" s="106"/>
      <c r="M117" s="107"/>
      <c r="N117" s="680" t="e">
        <f>SQRT(SUM(N88:N89,N92:N94,N97:N100,N102:N105,N107:N109,N110,N113,N114,N115,N116,))</f>
        <v>#N/A</v>
      </c>
      <c r="R117" s="70"/>
      <c r="U117" s="69"/>
      <c r="V117" s="69"/>
      <c r="W117" s="69"/>
    </row>
    <row r="118" spans="1:31" s="18" customFormat="1" ht="41.25" customHeight="1" thickBot="1" x14ac:dyDescent="0.3">
      <c r="A118" s="19"/>
      <c r="B118" s="1307" t="s">
        <v>179</v>
      </c>
      <c r="C118" s="1308"/>
      <c r="D118" s="1308"/>
      <c r="E118" s="1308"/>
      <c r="F118" s="1308"/>
      <c r="G118" s="1308"/>
      <c r="H118" s="1308"/>
      <c r="I118" s="1308"/>
      <c r="J118" s="1309"/>
      <c r="K118" s="19"/>
      <c r="L118" s="1310" t="s">
        <v>178</v>
      </c>
      <c r="M118" s="1339"/>
      <c r="N118" s="681" t="e">
        <f>E120*N117</f>
        <v>#N/A</v>
      </c>
      <c r="O118" s="19"/>
      <c r="P118" s="19"/>
      <c r="Q118" s="19"/>
      <c r="R118" s="70"/>
      <c r="U118" s="69"/>
      <c r="V118" s="69"/>
      <c r="W118" s="69"/>
    </row>
    <row r="119" spans="1:31" s="11" customFormat="1" ht="34.5" customHeight="1" thickBot="1" x14ac:dyDescent="0.3">
      <c r="A119" s="16"/>
      <c r="B119" s="343"/>
      <c r="C119" s="633" t="s">
        <v>180</v>
      </c>
      <c r="D119" s="640" t="s">
        <v>181</v>
      </c>
      <c r="E119" s="640" t="s">
        <v>149</v>
      </c>
      <c r="F119" s="640" t="s">
        <v>7</v>
      </c>
      <c r="G119" s="640" t="s">
        <v>8</v>
      </c>
      <c r="H119" s="640" t="s">
        <v>9</v>
      </c>
      <c r="I119" s="640" t="s">
        <v>182</v>
      </c>
      <c r="J119" s="641" t="s">
        <v>183</v>
      </c>
      <c r="K119" s="71"/>
      <c r="L119" s="1337" t="s">
        <v>18</v>
      </c>
      <c r="M119" s="1338"/>
      <c r="N119" s="679" t="e">
        <f>(N117^4)/((L88^4/Q88)+(L98^4/Q98)+(L103^4/Q103)+(L92^4/Q92)+(L115^4/Q115))</f>
        <v>#N/A</v>
      </c>
      <c r="O119" s="19"/>
      <c r="P119" s="19"/>
      <c r="Q119" s="16"/>
      <c r="R119" s="19"/>
    </row>
    <row r="120" spans="1:31" s="11" customFormat="1" ht="30" customHeight="1" thickBot="1" x14ac:dyDescent="0.3">
      <c r="A120" s="16"/>
      <c r="B120" s="643" t="s">
        <v>4</v>
      </c>
      <c r="C120" s="1026" t="e">
        <f>H57</f>
        <v>#N/A</v>
      </c>
      <c r="D120" s="1027" t="e">
        <f>N117</f>
        <v>#N/A</v>
      </c>
      <c r="E120" s="1358" t="e">
        <f>M122</f>
        <v>#N/A</v>
      </c>
      <c r="F120" s="1027" t="e">
        <f>(D120*$E$120)</f>
        <v>#N/A</v>
      </c>
      <c r="G120" s="1355">
        <v>0.95</v>
      </c>
      <c r="H120" s="1027" t="e">
        <f>C120-C7</f>
        <v>#N/A</v>
      </c>
      <c r="I120" s="1027" t="e">
        <f>ABS(H120)</f>
        <v>#N/A</v>
      </c>
      <c r="J120" s="1028" t="e">
        <f>F120*I120</f>
        <v>#N/A</v>
      </c>
      <c r="K120" s="72"/>
      <c r="O120" s="16"/>
      <c r="P120" s="16"/>
      <c r="Q120" s="16"/>
      <c r="R120" s="19"/>
    </row>
    <row r="121" spans="1:31" s="11" customFormat="1" ht="30" customHeight="1" x14ac:dyDescent="0.25">
      <c r="A121" s="16"/>
      <c r="B121" s="623" t="s">
        <v>184</v>
      </c>
      <c r="C121" s="642" t="e">
        <f>C120/L29</f>
        <v>#N/A</v>
      </c>
      <c r="D121" s="691" t="e">
        <f>D120/L29</f>
        <v>#N/A</v>
      </c>
      <c r="E121" s="1359"/>
      <c r="F121" s="691" t="e">
        <f>D121*$E$120</f>
        <v>#N/A</v>
      </c>
      <c r="G121" s="1356"/>
      <c r="H121" s="691" t="e">
        <f>H120/L29</f>
        <v>#N/A</v>
      </c>
      <c r="I121" s="691" t="e">
        <f>ABS(H121)</f>
        <v>#N/A</v>
      </c>
      <c r="J121" s="692" t="e">
        <f>F121*I121</f>
        <v>#N/A</v>
      </c>
      <c r="K121" s="16"/>
      <c r="M121" s="1295" t="s">
        <v>149</v>
      </c>
      <c r="N121" s="1296"/>
      <c r="O121" s="16"/>
      <c r="P121" s="16"/>
      <c r="Q121" s="73"/>
      <c r="R121" s="73"/>
    </row>
    <row r="122" spans="1:31" s="19" customFormat="1" ht="36.75" customHeight="1" thickBot="1" x14ac:dyDescent="0.3">
      <c r="B122" s="644" t="s">
        <v>10</v>
      </c>
      <c r="C122" s="1029" t="e">
        <f>C121/L26</f>
        <v>#N/A</v>
      </c>
      <c r="D122" s="1030" t="e">
        <f>D121/L26</f>
        <v>#N/A</v>
      </c>
      <c r="E122" s="1360"/>
      <c r="F122" s="1031" t="e">
        <f>D122*$E$120</f>
        <v>#N/A</v>
      </c>
      <c r="G122" s="1357"/>
      <c r="H122" s="1031" t="e">
        <f>H121/L26</f>
        <v>#N/A</v>
      </c>
      <c r="I122" s="1031" t="e">
        <f>ABS(H122)</f>
        <v>#N/A</v>
      </c>
      <c r="J122" s="1032" t="e">
        <f>F122*I122</f>
        <v>#N/A</v>
      </c>
      <c r="M122" s="128" t="e">
        <f>_xlfn.T.INV.2T(0.05,N119)</f>
        <v>#N/A</v>
      </c>
      <c r="N122" s="349" t="e">
        <f>TINV(0.05,N119)</f>
        <v>#N/A</v>
      </c>
      <c r="Q122" s="73"/>
      <c r="R122" s="73"/>
      <c r="S122" s="73"/>
      <c r="T122" s="73"/>
      <c r="U122" s="73"/>
      <c r="V122" s="73"/>
      <c r="W122" s="73"/>
      <c r="X122" s="73"/>
      <c r="Y122" s="73"/>
      <c r="Z122" s="73"/>
      <c r="AA122" s="73"/>
    </row>
    <row r="123" spans="1:31" s="11" customFormat="1" ht="42" customHeight="1" x14ac:dyDescent="0.25">
      <c r="A123" s="16"/>
      <c r="B123" s="16"/>
      <c r="C123" s="16"/>
      <c r="D123" s="16"/>
      <c r="E123" s="16"/>
      <c r="F123" s="16"/>
      <c r="G123" s="16"/>
      <c r="H123" s="16"/>
      <c r="I123" s="16"/>
      <c r="J123" s="16"/>
      <c r="K123" s="16"/>
      <c r="L123" s="16"/>
      <c r="M123" s="16"/>
      <c r="N123" s="16"/>
      <c r="O123" s="16"/>
      <c r="P123" s="16"/>
      <c r="Q123" s="19"/>
      <c r="R123" s="19"/>
      <c r="S123" s="19"/>
      <c r="T123" s="18"/>
      <c r="U123" s="18"/>
      <c r="V123" s="18"/>
      <c r="W123" s="18"/>
      <c r="X123" s="18"/>
      <c r="Y123" s="18"/>
      <c r="Z123" s="18"/>
      <c r="AA123" s="18"/>
      <c r="AB123" s="18"/>
      <c r="AC123" s="18"/>
      <c r="AD123" s="18"/>
      <c r="AE123" s="18"/>
    </row>
    <row r="124" spans="1:31" s="11" customFormat="1" ht="30" customHeight="1" x14ac:dyDescent="0.25">
      <c r="C124" s="686"/>
      <c r="D124" s="687"/>
      <c r="E124" s="685"/>
      <c r="K124" s="19"/>
      <c r="L124" s="19"/>
      <c r="O124" s="19"/>
      <c r="P124" s="19"/>
    </row>
  </sheetData>
  <sheetProtection algorithmName="SHA-512" hashValue="9T5vZkajKveIM8zZagtlbgt+PvtH9oo0YC2Hj1ASmYy6Lo2jNf8jXe9z/TtZcZWbz1oSwttAIG7RTNOlH36ZAg==" saltValue="AdcuqEXfA2ZDJG0tJnp7Eg==" spinCount="100000" sheet="1" objects="1" scenarios="1"/>
  <mergeCells count="117">
    <mergeCell ref="G120:G122"/>
    <mergeCell ref="E120:E122"/>
    <mergeCell ref="P41:S47"/>
    <mergeCell ref="A1:B1"/>
    <mergeCell ref="D1:R1"/>
    <mergeCell ref="D3:E3"/>
    <mergeCell ref="G3:H3"/>
    <mergeCell ref="J3:K3"/>
    <mergeCell ref="M3:N3"/>
    <mergeCell ref="P3:R3"/>
    <mergeCell ref="A8:A10"/>
    <mergeCell ref="O55:O56"/>
    <mergeCell ref="O53:O54"/>
    <mergeCell ref="I32:J32"/>
    <mergeCell ref="K32:L32"/>
    <mergeCell ref="I24:I25"/>
    <mergeCell ref="J24:J25"/>
    <mergeCell ref="K24:K25"/>
    <mergeCell ref="L24:L25"/>
    <mergeCell ref="M24:M25"/>
    <mergeCell ref="O24:O25"/>
    <mergeCell ref="A11:A13"/>
    <mergeCell ref="A14:A16"/>
    <mergeCell ref="I37:J37"/>
    <mergeCell ref="A89:A90"/>
    <mergeCell ref="B89:C89"/>
    <mergeCell ref="B90:C90"/>
    <mergeCell ref="E52:L52"/>
    <mergeCell ref="B38:C38"/>
    <mergeCell ref="P40:S40"/>
    <mergeCell ref="B75:F75"/>
    <mergeCell ref="B77:D77"/>
    <mergeCell ref="B79:D79"/>
    <mergeCell ref="B81:D81"/>
    <mergeCell ref="C40:N40"/>
    <mergeCell ref="C41:G41"/>
    <mergeCell ref="I41:N41"/>
    <mergeCell ref="D38:G38"/>
    <mergeCell ref="I35:L35"/>
    <mergeCell ref="M35:P35"/>
    <mergeCell ref="I36:J36"/>
    <mergeCell ref="M36:N36"/>
    <mergeCell ref="B71:F71"/>
    <mergeCell ref="B92:C92"/>
    <mergeCell ref="B87:C87"/>
    <mergeCell ref="E54:F54"/>
    <mergeCell ref="E55:F55"/>
    <mergeCell ref="E56:F56"/>
    <mergeCell ref="E58:G58"/>
    <mergeCell ref="E59:G59"/>
    <mergeCell ref="B73:F73"/>
    <mergeCell ref="D46:F46"/>
    <mergeCell ref="J46:L46"/>
    <mergeCell ref="B63:L63"/>
    <mergeCell ref="B65:D65"/>
    <mergeCell ref="B67:E67"/>
    <mergeCell ref="B69:E69"/>
    <mergeCell ref="M37:N37"/>
    <mergeCell ref="I38:J38"/>
    <mergeCell ref="M38:N38"/>
    <mergeCell ref="M121:N121"/>
    <mergeCell ref="B99:C99"/>
    <mergeCell ref="B100:C100"/>
    <mergeCell ref="B101:C101"/>
    <mergeCell ref="B102:C102"/>
    <mergeCell ref="B103:C103"/>
    <mergeCell ref="B104:C104"/>
    <mergeCell ref="B93:C93"/>
    <mergeCell ref="B94:C94"/>
    <mergeCell ref="B96:C96"/>
    <mergeCell ref="B97:C97"/>
    <mergeCell ref="B98:C98"/>
    <mergeCell ref="B108:C108"/>
    <mergeCell ref="B109:C109"/>
    <mergeCell ref="B110:C110"/>
    <mergeCell ref="L119:M119"/>
    <mergeCell ref="L118:M118"/>
    <mergeCell ref="B115:C115"/>
    <mergeCell ref="B116:C116"/>
    <mergeCell ref="B118:J118"/>
    <mergeCell ref="B105:C105"/>
    <mergeCell ref="B106:C106"/>
    <mergeCell ref="B113:C113"/>
    <mergeCell ref="B114:C114"/>
    <mergeCell ref="A5:R5"/>
    <mergeCell ref="I23:Q23"/>
    <mergeCell ref="B23:G23"/>
    <mergeCell ref="N32:O32"/>
    <mergeCell ref="P32:Q32"/>
    <mergeCell ref="I34:R34"/>
    <mergeCell ref="S18:S19"/>
    <mergeCell ref="L18:L19"/>
    <mergeCell ref="H18:H19"/>
    <mergeCell ref="J18:J19"/>
    <mergeCell ref="F18:F19"/>
    <mergeCell ref="D18:D19"/>
    <mergeCell ref="N18:N19"/>
    <mergeCell ref="B18:B19"/>
    <mergeCell ref="C18:C19"/>
    <mergeCell ref="E18:E19"/>
    <mergeCell ref="G18:G19"/>
    <mergeCell ref="I18:I19"/>
    <mergeCell ref="K18:K19"/>
    <mergeCell ref="O18:O19"/>
    <mergeCell ref="P18:P19"/>
    <mergeCell ref="P24:P25"/>
    <mergeCell ref="Q24:Q25"/>
    <mergeCell ref="Q6:R6"/>
    <mergeCell ref="B107:C107"/>
    <mergeCell ref="B88:C88"/>
    <mergeCell ref="E53:F53"/>
    <mergeCell ref="E57:G57"/>
    <mergeCell ref="B83:F83"/>
    <mergeCell ref="B85:Q85"/>
    <mergeCell ref="B86:C86"/>
    <mergeCell ref="B91:C91"/>
    <mergeCell ref="B112:Q112"/>
  </mergeCells>
  <pageMargins left="0.70866141732283472" right="0.70866141732283472" top="0.74803149606299213" bottom="0.74803149606299213" header="0.31496062992125984" footer="0.31496062992125984"/>
  <pageSetup scale="34" orientation="portrait" horizontalDpi="4294967293" r:id="rId1"/>
  <rowBreaks count="1" manualBreakCount="1">
    <brk id="59" max="18" man="1"/>
  </rowBreaks>
  <ignoredErrors>
    <ignoredError sqref="Q54 Q56" unlockedFormula="1"/>
  </ignoredError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DATOS!$C$48:$C$51</xm:f>
          </x14:formula1>
          <xm:sqref>S14:S16</xm:sqref>
        </x14:dataValidation>
        <x14:dataValidation type="list" allowBlank="1" showInputMessage="1" showErrorMessage="1">
          <x14:formula1>
            <xm:f>DATOS!$C$71:$C$76</xm:f>
          </x14:formula1>
          <xm:sqref>S17</xm:sqref>
        </x14:dataValidation>
        <x14:dataValidation type="list" allowBlank="1" showInputMessage="1" showErrorMessage="1">
          <x14:formula1>
            <xm:f>DATOS!$C$80:$C$86</xm:f>
          </x14:formula1>
          <xm:sqref>S18:S19</xm:sqref>
        </x14:dataValidation>
        <x14:dataValidation type="list" allowBlank="1" showInputMessage="1" showErrorMessage="1">
          <x14:formula1>
            <xm:f>DATOS!$C$90:$C$91</xm:f>
          </x14:formula1>
          <xm:sqref>S20</xm:sqref>
        </x14:dataValidation>
        <x14:dataValidation type="list" allowBlank="1" showInputMessage="1" showErrorMessage="1">
          <x14:formula1>
            <xm:f>DATOS!$C$96:$C$111</xm:f>
          </x14:formula1>
          <xm:sqref>S21</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A25</xm:sqref>
        </x14:dataValidation>
        <x14:dataValidation type="list" allowBlank="1" showInputMessage="1" showErrorMessage="1">
          <x14:formula1>
            <xm:f>DATOS!$D$7:$D$9</xm:f>
          </x14:formula1>
          <xm:sqref>S3</xm:sqref>
        </x14:dataValidation>
        <x14:dataValidation type="list" allowBlank="1" showInputMessage="1" showErrorMessage="1">
          <x14:formula1>
            <xm:f>DATOS!$Q$8:$Q$12</xm:f>
          </x14:formula1>
          <xm:sqref>H38</xm:sqref>
        </x14:dataValidation>
        <x14:dataValidation type="list" allowBlank="1" showInputMessage="1" showErrorMessage="1">
          <x14:formula1>
            <xm:f>DATOS!$B$14:$B$16</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
  <sheetViews>
    <sheetView showGridLines="0" view="pageBreakPreview" zoomScale="80" zoomScaleNormal="25" zoomScaleSheetLayoutView="80" zoomScalePageLayoutView="10" workbookViewId="0">
      <selection activeCell="L26" sqref="L26"/>
    </sheetView>
  </sheetViews>
  <sheetFormatPr baseColWidth="10" defaultColWidth="15.7109375" defaultRowHeight="15" x14ac:dyDescent="0.2"/>
  <cols>
    <col min="1" max="16384" width="15.7109375" style="149"/>
  </cols>
  <sheetData>
    <row r="1" spans="1:29" s="425" customFormat="1" ht="75" customHeight="1" thickBot="1" x14ac:dyDescent="0.3">
      <c r="A1" s="1442"/>
      <c r="B1" s="1443"/>
      <c r="C1" s="423"/>
      <c r="D1" s="1453" t="s">
        <v>516</v>
      </c>
      <c r="E1" s="1454"/>
      <c r="F1" s="1454"/>
      <c r="G1" s="1454"/>
      <c r="H1" s="1454"/>
      <c r="I1" s="1454"/>
      <c r="J1" s="1454"/>
      <c r="K1" s="1454"/>
      <c r="L1" s="1454"/>
      <c r="M1" s="1454"/>
      <c r="N1" s="1454"/>
      <c r="O1" s="1454"/>
      <c r="P1" s="1454"/>
      <c r="Q1" s="1454"/>
      <c r="R1" s="1454"/>
      <c r="S1" s="1454"/>
      <c r="T1" s="1454"/>
      <c r="U1" s="1454"/>
      <c r="V1" s="1454"/>
      <c r="W1" s="424"/>
    </row>
    <row r="2" spans="1:29" s="429" customFormat="1" ht="5.0999999999999996" customHeight="1" thickBot="1" x14ac:dyDescent="0.3">
      <c r="A2" s="426"/>
      <c r="B2" s="426"/>
      <c r="C2" s="427"/>
      <c r="D2" s="428"/>
      <c r="E2" s="428"/>
      <c r="F2" s="428"/>
      <c r="G2" s="428"/>
      <c r="H2" s="428"/>
      <c r="I2" s="428"/>
      <c r="J2" s="428"/>
      <c r="K2" s="428"/>
      <c r="L2" s="428"/>
      <c r="M2" s="428"/>
      <c r="N2" s="428"/>
      <c r="O2" s="428"/>
      <c r="P2" s="428"/>
      <c r="Q2" s="428"/>
      <c r="R2" s="428"/>
    </row>
    <row r="3" spans="1:29" s="429" customFormat="1" ht="39.950000000000003" customHeight="1" thickBot="1" x14ac:dyDescent="0.3">
      <c r="A3" s="108" t="s">
        <v>70</v>
      </c>
      <c r="B3" s="371" t="e">
        <f>VLOOKUP(S3,DATOS!D7:L19,2,FALSE)</f>
        <v>#N/A</v>
      </c>
      <c r="C3" s="109" t="s">
        <v>261</v>
      </c>
      <c r="D3" s="1447" t="e">
        <f>VLOOKUP(S3,DATOS!D7:L19,3,FALSE)</f>
        <v>#N/A</v>
      </c>
      <c r="E3" s="1447"/>
      <c r="F3" s="110" t="s">
        <v>263</v>
      </c>
      <c r="G3" s="1375" t="e">
        <f>VLOOKUP(S3,DATOS!D7:L19,6,FALSE)</f>
        <v>#N/A</v>
      </c>
      <c r="H3" s="1375"/>
      <c r="I3" s="110" t="s">
        <v>262</v>
      </c>
      <c r="J3" s="1376" t="e">
        <f>VLOOKUP(S3,DATOS!D7:L19,4,FALSE)</f>
        <v>#N/A</v>
      </c>
      <c r="K3" s="1376"/>
      <c r="L3" s="110" t="s">
        <v>32</v>
      </c>
      <c r="M3" s="595" t="e">
        <f>VLOOKUP(S3,DATOS!D7:L19,5,FALSE)</f>
        <v>#N/A</v>
      </c>
      <c r="N3" s="595"/>
      <c r="O3" s="110" t="s">
        <v>264</v>
      </c>
      <c r="P3" s="1375" t="e">
        <f>VLOOKUP(S3,DATOS!D7:L19,9,FALSE)</f>
        <v>#N/A</v>
      </c>
      <c r="Q3" s="1375"/>
      <c r="R3" s="1377"/>
      <c r="S3" s="370"/>
    </row>
    <row r="4" spans="1:29" s="427" customFormat="1" ht="39.950000000000003" customHeight="1" x14ac:dyDescent="0.25"/>
    <row r="5" spans="1:29" ht="39.950000000000003" customHeight="1" thickBot="1" x14ac:dyDescent="0.25">
      <c r="A5" s="430"/>
      <c r="H5" s="427"/>
      <c r="J5" s="427"/>
      <c r="P5" s="424"/>
      <c r="Q5" s="424"/>
      <c r="R5" s="424"/>
      <c r="S5" s="424"/>
      <c r="T5" s="424"/>
      <c r="U5" s="424"/>
      <c r="V5" s="424"/>
      <c r="X5" s="424"/>
      <c r="Y5" s="424"/>
      <c r="Z5" s="424"/>
      <c r="AA5" s="424"/>
      <c r="AB5" s="431"/>
      <c r="AC5" s="424"/>
    </row>
    <row r="6" spans="1:29" ht="39.950000000000003" customHeight="1" thickBot="1" x14ac:dyDescent="0.25">
      <c r="A6" s="1227" t="s">
        <v>394</v>
      </c>
      <c r="B6" s="1228"/>
      <c r="C6" s="1228"/>
      <c r="D6" s="1228"/>
      <c r="E6" s="1228"/>
      <c r="F6" s="1228"/>
      <c r="G6" s="1229"/>
      <c r="H6" s="1381" t="s">
        <v>115</v>
      </c>
      <c r="I6" s="1382"/>
      <c r="J6" s="1383"/>
      <c r="K6" s="1384"/>
      <c r="L6" s="1444" t="s">
        <v>191</v>
      </c>
      <c r="M6" s="1444"/>
      <c r="N6" s="1444"/>
      <c r="O6" s="1444"/>
      <c r="P6" s="1444"/>
      <c r="Q6" s="1448" t="s">
        <v>192</v>
      </c>
      <c r="R6" s="1449"/>
      <c r="S6" s="1449"/>
      <c r="T6" s="1449"/>
      <c r="U6" s="1449"/>
      <c r="V6" s="1445"/>
      <c r="W6" s="424"/>
      <c r="X6" s="424"/>
      <c r="Y6" s="424"/>
      <c r="Z6" s="424"/>
      <c r="AA6" s="424"/>
      <c r="AB6" s="431"/>
      <c r="AC6" s="424"/>
    </row>
    <row r="7" spans="1:29" ht="39.950000000000003" customHeight="1" thickBot="1" x14ac:dyDescent="0.25">
      <c r="A7" s="233" t="s">
        <v>245</v>
      </c>
      <c r="B7" s="432" t="s">
        <v>389</v>
      </c>
      <c r="C7" s="433" t="s">
        <v>390</v>
      </c>
      <c r="D7" s="373" t="s">
        <v>391</v>
      </c>
      <c r="E7" s="373" t="s">
        <v>392</v>
      </c>
      <c r="F7" s="434" t="s">
        <v>393</v>
      </c>
      <c r="G7" s="435" t="s">
        <v>149</v>
      </c>
      <c r="H7" s="1350" t="s">
        <v>276</v>
      </c>
      <c r="I7" s="1351"/>
      <c r="J7" s="436" t="e">
        <f>VLOOKUP(K7,DATOS!$Q$8:$R$12,2,FALSE)</f>
        <v>#N/A</v>
      </c>
      <c r="K7" s="370"/>
      <c r="L7" s="1445"/>
      <c r="M7" s="1446"/>
      <c r="N7" s="1446"/>
      <c r="O7" s="1446"/>
      <c r="P7" s="1446"/>
      <c r="Q7" s="1450"/>
      <c r="R7" s="1451"/>
      <c r="S7" s="1451"/>
      <c r="T7" s="1451"/>
      <c r="U7" s="1451"/>
      <c r="V7" s="1452"/>
      <c r="X7" s="437"/>
      <c r="Y7" s="437"/>
      <c r="Z7" s="437"/>
      <c r="AA7" s="437"/>
      <c r="AB7" s="438"/>
      <c r="AC7" s="437"/>
    </row>
    <row r="8" spans="1:29" ht="39.950000000000003" customHeight="1" thickBot="1" x14ac:dyDescent="0.25">
      <c r="A8" s="439" t="e">
        <f>'RT03-F11'!B18</f>
        <v>#N/A</v>
      </c>
      <c r="B8" s="440">
        <f>DATOS!R27</f>
        <v>500</v>
      </c>
      <c r="C8" s="441" t="e">
        <f>'RT03-F11'!C18</f>
        <v>#N/A</v>
      </c>
      <c r="D8" s="442" t="e">
        <f>'RT03-F11'!E18</f>
        <v>#N/A</v>
      </c>
      <c r="E8" s="443" t="e">
        <f>'RT03-F11'!G18</f>
        <v>#N/A</v>
      </c>
      <c r="F8" s="444" t="e">
        <f>'RT03-F11'!I18</f>
        <v>#N/A</v>
      </c>
      <c r="G8" s="445" t="e">
        <f>'RT03-F11'!O18</f>
        <v>#N/A</v>
      </c>
      <c r="H8" s="1321" t="s">
        <v>116</v>
      </c>
      <c r="I8" s="1322"/>
      <c r="J8" s="1323"/>
      <c r="K8" s="1324"/>
      <c r="L8" s="446"/>
      <c r="M8" s="447"/>
      <c r="N8" s="447"/>
      <c r="O8" s="447"/>
      <c r="P8" s="447"/>
      <c r="Q8" s="1400" t="s">
        <v>382</v>
      </c>
      <c r="R8" s="1414" t="s">
        <v>383</v>
      </c>
      <c r="S8" s="1414" t="s">
        <v>384</v>
      </c>
      <c r="T8" s="1414" t="s">
        <v>385</v>
      </c>
      <c r="U8" s="1414" t="s">
        <v>386</v>
      </c>
      <c r="V8" s="1417" t="s">
        <v>387</v>
      </c>
      <c r="W8" s="424"/>
      <c r="X8" s="424"/>
      <c r="Y8" s="424"/>
      <c r="Z8" s="424"/>
      <c r="AA8" s="424"/>
      <c r="AB8" s="431"/>
      <c r="AC8" s="424"/>
    </row>
    <row r="9" spans="1:29" ht="39.950000000000003" customHeight="1" thickBot="1" x14ac:dyDescent="0.25">
      <c r="A9" s="430"/>
      <c r="D9" s="430"/>
      <c r="E9" s="430"/>
      <c r="F9" s="430"/>
      <c r="L9" s="448"/>
      <c r="M9" s="449"/>
      <c r="N9" s="449"/>
      <c r="O9" s="449"/>
      <c r="P9" s="150"/>
      <c r="Q9" s="1401"/>
      <c r="R9" s="1415"/>
      <c r="S9" s="1415"/>
      <c r="T9" s="1415"/>
      <c r="U9" s="1415"/>
      <c r="V9" s="1418"/>
      <c r="AC9" s="424"/>
    </row>
    <row r="10" spans="1:29" ht="39.950000000000003" customHeight="1" thickBot="1" x14ac:dyDescent="0.25">
      <c r="A10" s="430"/>
      <c r="B10" s="1409" t="s">
        <v>337</v>
      </c>
      <c r="C10" s="1410"/>
      <c r="D10" s="1410"/>
      <c r="E10" s="1411"/>
      <c r="F10" s="449"/>
      <c r="H10" s="1409" t="s">
        <v>388</v>
      </c>
      <c r="I10" s="1411"/>
      <c r="L10" s="448"/>
      <c r="M10" s="449"/>
      <c r="N10" s="449"/>
      <c r="O10" s="449"/>
      <c r="P10" s="449"/>
      <c r="Q10" s="1401"/>
      <c r="R10" s="1415"/>
      <c r="S10" s="1416"/>
      <c r="T10" s="1416"/>
      <c r="U10" s="1416"/>
      <c r="V10" s="1419"/>
      <c r="AC10" s="424"/>
    </row>
    <row r="11" spans="1:29" ht="39.950000000000003" customHeight="1" thickBot="1" x14ac:dyDescent="0.4">
      <c r="A11" s="430"/>
      <c r="B11" s="1405" t="s">
        <v>329</v>
      </c>
      <c r="C11" s="1406"/>
      <c r="D11" s="1407" t="s">
        <v>193</v>
      </c>
      <c r="E11" s="1408"/>
      <c r="F11" s="430"/>
      <c r="H11" s="450" t="s">
        <v>327</v>
      </c>
      <c r="I11" s="451" t="s">
        <v>4</v>
      </c>
      <c r="L11" s="452" t="s">
        <v>228</v>
      </c>
      <c r="M11" s="449"/>
      <c r="N11" s="449"/>
      <c r="O11" s="453" t="s">
        <v>194</v>
      </c>
      <c r="P11" s="449"/>
      <c r="Q11" s="1412">
        <f>B8</f>
        <v>500</v>
      </c>
      <c r="R11" s="1398" t="e">
        <f>C8</f>
        <v>#N/A</v>
      </c>
      <c r="S11" s="584"/>
      <c r="T11" s="454">
        <f>M19</f>
        <v>0.19111111111106993</v>
      </c>
      <c r="U11" s="454" t="e">
        <f>($R$11-T11)</f>
        <v>#N/A</v>
      </c>
      <c r="V11" s="455" t="e">
        <f>U11/$D$12</f>
        <v>#N/A</v>
      </c>
      <c r="AC11" s="437"/>
    </row>
    <row r="12" spans="1:29" ht="39.950000000000003" customHeight="1" thickBot="1" x14ac:dyDescent="0.3">
      <c r="A12" s="430"/>
      <c r="B12" s="456" t="e">
        <f>VLOOKUP(F12,DATOS!$Q$17:$S$21,2,FALSE)</f>
        <v>#N/A</v>
      </c>
      <c r="C12" s="457"/>
      <c r="D12" s="458" t="e">
        <f>VLOOKUP(F12,DATOS!$Q$17:$S$21,3,FALSE)</f>
        <v>#N/A</v>
      </c>
      <c r="E12" s="459"/>
      <c r="F12" s="588"/>
      <c r="H12" s="460" t="s">
        <v>331</v>
      </c>
      <c r="I12" s="461">
        <f>I13/2</f>
        <v>8.1935300000000009</v>
      </c>
      <c r="L12" s="452" t="s">
        <v>195</v>
      </c>
      <c r="M12" s="453"/>
      <c r="N12" s="453" t="s">
        <v>194</v>
      </c>
      <c r="O12" s="453"/>
      <c r="P12" s="449"/>
      <c r="Q12" s="1412"/>
      <c r="R12" s="1398"/>
      <c r="S12" s="584"/>
      <c r="T12" s="454">
        <f>M20</f>
        <v>0.19111111111106993</v>
      </c>
      <c r="U12" s="454" t="e">
        <f>($R$11-T12)</f>
        <v>#N/A</v>
      </c>
      <c r="V12" s="455" t="e">
        <f>U12/$D$12</f>
        <v>#N/A</v>
      </c>
      <c r="AC12" s="438"/>
    </row>
    <row r="13" spans="1:29" ht="39.950000000000003" customHeight="1" thickBot="1" x14ac:dyDescent="0.4">
      <c r="A13" s="430"/>
      <c r="F13" s="449"/>
      <c r="H13" s="460" t="s">
        <v>332</v>
      </c>
      <c r="I13" s="461">
        <v>16.387060000000002</v>
      </c>
      <c r="L13" s="462" t="s">
        <v>229</v>
      </c>
      <c r="M13" s="463" t="s">
        <v>194</v>
      </c>
      <c r="N13" s="464"/>
      <c r="O13" s="464"/>
      <c r="P13" s="465" t="s">
        <v>196</v>
      </c>
      <c r="Q13" s="1413"/>
      <c r="R13" s="1399"/>
      <c r="S13" s="585"/>
      <c r="T13" s="466">
        <f>M21</f>
        <v>0.19111111111106993</v>
      </c>
      <c r="U13" s="466" t="e">
        <f>($R$11-T13)</f>
        <v>#N/A</v>
      </c>
      <c r="V13" s="467" t="e">
        <f>U13/$D$12</f>
        <v>#N/A</v>
      </c>
      <c r="AC13" s="438"/>
    </row>
    <row r="14" spans="1:29" s="449" customFormat="1" ht="39.950000000000003" customHeight="1" thickBot="1" x14ac:dyDescent="0.4">
      <c r="L14" s="151"/>
      <c r="M14" s="468" t="s">
        <v>321</v>
      </c>
      <c r="N14" s="468" t="s">
        <v>196</v>
      </c>
      <c r="O14" s="468" t="s">
        <v>322</v>
      </c>
      <c r="P14" s="153"/>
      <c r="T14" s="469" t="s">
        <v>336</v>
      </c>
      <c r="U14" s="470" t="e">
        <f>AVERAGE(U11:U13)</f>
        <v>#N/A</v>
      </c>
      <c r="V14" s="471" t="e">
        <f>AVERAGE(V11:V13)</f>
        <v>#N/A</v>
      </c>
      <c r="AC14" s="424"/>
    </row>
    <row r="15" spans="1:29" ht="39.950000000000003" customHeight="1" thickBot="1" x14ac:dyDescent="0.25">
      <c r="A15" s="430"/>
      <c r="D15" s="430"/>
      <c r="E15" s="430"/>
      <c r="F15" s="430"/>
      <c r="R15" s="430"/>
      <c r="S15" s="430"/>
      <c r="T15" s="472"/>
      <c r="U15" s="466" t="e">
        <f>STDEVA(U11:U13)</f>
        <v>#N/A</v>
      </c>
      <c r="V15" s="473" t="e">
        <f>_xlfn.STDEV.S(V11:V13)</f>
        <v>#N/A</v>
      </c>
      <c r="AC15" s="474"/>
    </row>
    <row r="16" spans="1:29" ht="39.950000000000003" customHeight="1" thickBot="1" x14ac:dyDescent="0.25">
      <c r="A16" s="430"/>
      <c r="T16" s="475"/>
      <c r="U16" s="466" t="e">
        <f>U15/SQRT(3)</f>
        <v>#N/A</v>
      </c>
      <c r="V16" s="476" t="e">
        <f>V15/SQRT(3)</f>
        <v>#N/A</v>
      </c>
      <c r="AC16" s="477"/>
    </row>
    <row r="17" spans="1:29" ht="39.950000000000003" customHeight="1" thickBot="1" x14ac:dyDescent="0.25">
      <c r="A17" s="430"/>
      <c r="B17" s="1434" t="s">
        <v>338</v>
      </c>
      <c r="C17" s="1435"/>
      <c r="D17" s="1435"/>
      <c r="E17" s="1435"/>
      <c r="F17" s="1436"/>
      <c r="G17" s="1389" t="s">
        <v>208</v>
      </c>
      <c r="H17" s="1390"/>
      <c r="I17" s="1390"/>
      <c r="J17" s="1390"/>
      <c r="K17" s="1391"/>
      <c r="T17" s="430"/>
      <c r="U17" s="430"/>
      <c r="V17" s="430"/>
      <c r="AC17" s="478"/>
    </row>
    <row r="18" spans="1:29" ht="39.950000000000003" customHeight="1" thickBot="1" x14ac:dyDescent="0.25">
      <c r="A18" s="430"/>
      <c r="B18" s="479" t="s">
        <v>107</v>
      </c>
      <c r="C18" s="480" t="s">
        <v>203</v>
      </c>
      <c r="D18" s="480" t="s">
        <v>204</v>
      </c>
      <c r="E18" s="480" t="s">
        <v>205</v>
      </c>
      <c r="F18" s="653" t="s">
        <v>206</v>
      </c>
      <c r="G18" s="658" t="s">
        <v>98</v>
      </c>
      <c r="H18" s="491" t="s">
        <v>64</v>
      </c>
      <c r="I18" s="491" t="s">
        <v>65</v>
      </c>
      <c r="J18" s="491" t="s">
        <v>323</v>
      </c>
      <c r="K18" s="608" t="s">
        <v>108</v>
      </c>
      <c r="L18" s="656" t="s">
        <v>381</v>
      </c>
      <c r="M18" s="481" t="s">
        <v>197</v>
      </c>
      <c r="N18" s="482" t="s">
        <v>198</v>
      </c>
      <c r="O18" s="483">
        <f>(O21-O20)/(N21-N20)</f>
        <v>0.99897777777777785</v>
      </c>
      <c r="P18" s="464"/>
      <c r="Q18" s="484"/>
      <c r="R18" s="464"/>
      <c r="U18" s="485"/>
      <c r="V18" s="486" t="e">
        <f>AVERAGE(S11:S13)</f>
        <v>#DIV/0!</v>
      </c>
      <c r="AC18" s="478"/>
    </row>
    <row r="19" spans="1:29" s="449" customFormat="1" ht="39.950000000000003" customHeight="1" thickBot="1" x14ac:dyDescent="0.25">
      <c r="B19" s="487" t="s">
        <v>207</v>
      </c>
      <c r="C19" s="586"/>
      <c r="D19" s="586"/>
      <c r="E19" s="586"/>
      <c r="F19" s="654" t="e">
        <f>AVERAGE(C19:E19)</f>
        <v>#DIV/0!</v>
      </c>
      <c r="G19" s="488" t="s">
        <v>210</v>
      </c>
      <c r="H19" s="489">
        <v>3.7854100000000002</v>
      </c>
      <c r="I19" s="489">
        <f>(H19/H21)*1000</f>
        <v>3785.4100000000003</v>
      </c>
      <c r="J19" s="489">
        <f>(I19*I22)/I20</f>
        <v>230.99994751956731</v>
      </c>
      <c r="K19" s="659">
        <v>5</v>
      </c>
      <c r="L19" s="657">
        <f>S11</f>
        <v>0</v>
      </c>
      <c r="M19" s="490">
        <f>($O$21+$O$18*(L19-$N$21))</f>
        <v>0.19111111111106993</v>
      </c>
      <c r="N19" s="491" t="s">
        <v>199</v>
      </c>
      <c r="O19" s="491" t="s">
        <v>200</v>
      </c>
      <c r="P19" s="492" t="s">
        <v>201</v>
      </c>
      <c r="Q19" s="1425" t="s">
        <v>202</v>
      </c>
      <c r="R19" s="1426"/>
      <c r="S19" s="1427"/>
      <c r="U19" s="493"/>
      <c r="V19" s="494">
        <f>(I13/10)/SQRT(3)</f>
        <v>0.94610735022265502</v>
      </c>
    </row>
    <row r="20" spans="1:29" s="449" customFormat="1" ht="39.950000000000003" customHeight="1" thickBot="1" x14ac:dyDescent="0.25">
      <c r="B20" s="460" t="s">
        <v>209</v>
      </c>
      <c r="C20" s="587"/>
      <c r="D20" s="587"/>
      <c r="E20" s="587"/>
      <c r="F20" s="655" t="e">
        <f>AVERAGE(C20:E20)</f>
        <v>#DIV/0!</v>
      </c>
      <c r="G20" s="488" t="s">
        <v>323</v>
      </c>
      <c r="H20" s="489">
        <v>1.6387059999999998E-2</v>
      </c>
      <c r="I20" s="489">
        <f>(H20/H21)*I21</f>
        <v>16.387059999999998</v>
      </c>
      <c r="J20" s="489">
        <v>1</v>
      </c>
      <c r="K20" s="660">
        <f>J19*K19</f>
        <v>1154.9997375978367</v>
      </c>
      <c r="L20" s="657">
        <f t="shared" ref="L20:L21" si="0">S12</f>
        <v>0</v>
      </c>
      <c r="M20" s="454">
        <f>($O$21+$O$18*(L20-$N$21))</f>
        <v>0.19111111111106993</v>
      </c>
      <c r="N20" s="491">
        <f>'RT03-F11'!Q18</f>
        <v>50</v>
      </c>
      <c r="O20" s="491">
        <f>'RT03-F11'!R18</f>
        <v>50.14</v>
      </c>
      <c r="P20" s="491">
        <f>(O20-N20)</f>
        <v>0.14000000000000057</v>
      </c>
      <c r="Q20" s="1428"/>
      <c r="R20" s="1429"/>
      <c r="S20" s="1430"/>
      <c r="U20" s="497"/>
      <c r="V20" s="476">
        <f>(I13/10)/SQRT(3)</f>
        <v>0.94610735022265502</v>
      </c>
    </row>
    <row r="21" spans="1:29" s="449" customFormat="1" ht="39.950000000000003" customHeight="1" thickBot="1" x14ac:dyDescent="0.25">
      <c r="B21" s="498" t="s">
        <v>324</v>
      </c>
      <c r="C21" s="499" t="e">
        <f>F19-F20</f>
        <v>#DIV/0!</v>
      </c>
      <c r="D21" s="500"/>
      <c r="E21" s="501"/>
      <c r="F21" s="501"/>
      <c r="G21" s="488" t="s">
        <v>211</v>
      </c>
      <c r="H21" s="489">
        <v>1</v>
      </c>
      <c r="I21" s="489">
        <v>1000</v>
      </c>
      <c r="J21" s="489">
        <f>H20</f>
        <v>1.6387059999999998E-2</v>
      </c>
      <c r="K21" s="662">
        <f>K19*H19</f>
        <v>18.927050000000001</v>
      </c>
      <c r="L21" s="657">
        <f t="shared" si="0"/>
        <v>0</v>
      </c>
      <c r="M21" s="466">
        <f>($O$21+$O$18*(L21-$N$21))</f>
        <v>0.19111111111106993</v>
      </c>
      <c r="N21" s="491">
        <f>'RT03-F11'!Q19</f>
        <v>500</v>
      </c>
      <c r="O21" s="491">
        <f>'RT03-F11'!R19</f>
        <v>499.68</v>
      </c>
      <c r="P21" s="491">
        <f>(O21-N21)</f>
        <v>-0.31999999999999318</v>
      </c>
      <c r="Q21" s="1431">
        <f>ABS(P21-P20)/12^0.5</f>
        <v>0.13279056191361213</v>
      </c>
      <c r="R21" s="1432"/>
      <c r="S21" s="1433"/>
    </row>
    <row r="22" spans="1:29" s="449" customFormat="1" ht="39.950000000000003" customHeight="1" thickBot="1" x14ac:dyDescent="0.25">
      <c r="B22" s="502" t="s">
        <v>325</v>
      </c>
      <c r="C22" s="503" t="e">
        <f>I13*((F19-F20)/((SQRT(12)*F19)))</f>
        <v>#DIV/0!</v>
      </c>
      <c r="D22" s="504"/>
      <c r="E22" s="505"/>
      <c r="F22" s="505"/>
      <c r="G22" s="495" t="s">
        <v>212</v>
      </c>
      <c r="H22" s="496">
        <v>1E-3</v>
      </c>
      <c r="I22" s="496">
        <v>1</v>
      </c>
      <c r="J22" s="496">
        <f>I20</f>
        <v>16.387059999999998</v>
      </c>
      <c r="K22" s="661">
        <f>K19*I19</f>
        <v>18927.050000000003</v>
      </c>
    </row>
    <row r="23" spans="1:29" s="449" customFormat="1" ht="39.950000000000003" customHeight="1" thickBot="1" x14ac:dyDescent="0.25">
      <c r="B23" s="506"/>
      <c r="D23" s="428"/>
      <c r="E23" s="428"/>
      <c r="F23" s="507"/>
    </row>
    <row r="24" spans="1:29" s="449" customFormat="1" ht="39.950000000000003" customHeight="1" thickBot="1" x14ac:dyDescent="0.25">
      <c r="B24" s="1409" t="s">
        <v>140</v>
      </c>
      <c r="C24" s="1410"/>
      <c r="D24" s="1410"/>
      <c r="E24" s="1410"/>
      <c r="F24" s="1410"/>
      <c r="G24" s="1410"/>
      <c r="H24" s="1410"/>
      <c r="I24" s="1410"/>
      <c r="J24" s="1410"/>
      <c r="K24" s="1410"/>
      <c r="L24" s="1411"/>
    </row>
    <row r="25" spans="1:29" s="425" customFormat="1" ht="39.950000000000003" customHeight="1" x14ac:dyDescent="0.25">
      <c r="A25" s="429"/>
      <c r="B25" s="508"/>
      <c r="C25" s="427"/>
      <c r="D25" s="427"/>
      <c r="E25" s="427"/>
      <c r="F25" s="427"/>
      <c r="G25" s="427"/>
      <c r="H25" s="427"/>
      <c r="I25" s="427"/>
      <c r="J25" s="427"/>
      <c r="K25" s="509" t="s">
        <v>141</v>
      </c>
      <c r="L25" s="510" t="s">
        <v>98</v>
      </c>
    </row>
    <row r="26" spans="1:29" s="427" customFormat="1" ht="39.950000000000003" customHeight="1" x14ac:dyDescent="0.25">
      <c r="B26" s="511" t="s">
        <v>213</v>
      </c>
      <c r="C26" s="512"/>
      <c r="D26" s="512"/>
      <c r="E26" s="512"/>
      <c r="F26" s="512"/>
      <c r="G26" s="513"/>
      <c r="H26" s="513"/>
      <c r="I26" s="513"/>
      <c r="J26" s="514"/>
      <c r="K26" s="515" t="e">
        <f>1/(D12)</f>
        <v>#N/A</v>
      </c>
      <c r="L26" s="516" t="s">
        <v>4</v>
      </c>
    </row>
    <row r="27" spans="1:29" s="425" customFormat="1" ht="5.0999999999999996" customHeight="1" x14ac:dyDescent="0.25">
      <c r="A27" s="427"/>
      <c r="B27" s="517"/>
      <c r="C27" s="518"/>
      <c r="D27" s="518"/>
      <c r="E27" s="518"/>
      <c r="F27" s="518"/>
      <c r="G27" s="427"/>
      <c r="H27" s="427"/>
      <c r="I27" s="427"/>
      <c r="J27" s="427"/>
      <c r="K27" s="519"/>
      <c r="L27" s="520"/>
    </row>
    <row r="28" spans="1:29" s="427" customFormat="1" ht="39.950000000000003" customHeight="1" x14ac:dyDescent="0.25">
      <c r="B28" s="511" t="s">
        <v>214</v>
      </c>
      <c r="C28" s="512"/>
      <c r="D28" s="512"/>
      <c r="E28" s="512"/>
      <c r="F28" s="512"/>
      <c r="G28" s="513"/>
      <c r="H28" s="513"/>
      <c r="I28" s="513"/>
      <c r="J28" s="514"/>
      <c r="K28" s="515" t="e">
        <f>-1/(D12)</f>
        <v>#N/A</v>
      </c>
      <c r="L28" s="516" t="s">
        <v>4</v>
      </c>
    </row>
    <row r="29" spans="1:29" s="425" customFormat="1" ht="5.0999999999999996" customHeight="1" x14ac:dyDescent="0.25">
      <c r="A29" s="427"/>
      <c r="B29" s="517"/>
      <c r="C29" s="518"/>
      <c r="D29" s="518"/>
      <c r="E29" s="518"/>
      <c r="F29" s="518"/>
      <c r="G29" s="427"/>
      <c r="H29" s="427"/>
      <c r="I29" s="427"/>
      <c r="J29" s="427"/>
      <c r="K29" s="519"/>
      <c r="L29" s="521"/>
    </row>
    <row r="30" spans="1:29" s="427" customFormat="1" ht="39.950000000000003" customHeight="1" x14ac:dyDescent="0.25">
      <c r="B30" s="511" t="s">
        <v>214</v>
      </c>
      <c r="C30" s="512"/>
      <c r="D30" s="512"/>
      <c r="E30" s="512"/>
      <c r="F30" s="512"/>
      <c r="G30" s="513"/>
      <c r="H30" s="513"/>
      <c r="I30" s="513"/>
      <c r="J30" s="514"/>
      <c r="K30" s="515" t="e">
        <f>1/(D12)</f>
        <v>#N/A</v>
      </c>
      <c r="L30" s="516" t="s">
        <v>4</v>
      </c>
    </row>
    <row r="31" spans="1:29" s="425" customFormat="1" ht="5.0999999999999996" customHeight="1" x14ac:dyDescent="0.25">
      <c r="A31" s="427"/>
      <c r="B31" s="522"/>
      <c r="C31" s="518"/>
      <c r="D31" s="518"/>
      <c r="E31" s="518"/>
      <c r="F31" s="518"/>
      <c r="G31" s="427"/>
      <c r="H31" s="427"/>
      <c r="I31" s="427"/>
      <c r="J31" s="427"/>
      <c r="K31" s="523"/>
      <c r="L31" s="521"/>
      <c r="M31" s="426"/>
      <c r="N31" s="427"/>
      <c r="O31" s="427"/>
      <c r="P31" s="427"/>
      <c r="Q31" s="427"/>
      <c r="R31" s="429"/>
    </row>
    <row r="32" spans="1:29" s="427" customFormat="1" ht="39.950000000000003" customHeight="1" x14ac:dyDescent="0.25">
      <c r="B32" s="511" t="s">
        <v>214</v>
      </c>
      <c r="C32" s="512"/>
      <c r="D32" s="512"/>
      <c r="E32" s="512"/>
      <c r="F32" s="512"/>
      <c r="G32" s="513"/>
      <c r="H32" s="513"/>
      <c r="I32" s="513"/>
      <c r="J32" s="514"/>
      <c r="K32" s="515" t="e">
        <f>K30</f>
        <v>#N/A</v>
      </c>
      <c r="L32" s="516" t="s">
        <v>4</v>
      </c>
    </row>
    <row r="33" spans="1:18" s="425" customFormat="1" ht="5.0999999999999996" customHeight="1" x14ac:dyDescent="0.25">
      <c r="A33" s="427"/>
      <c r="B33" s="517"/>
      <c r="C33" s="518"/>
      <c r="D33" s="518"/>
      <c r="E33" s="518"/>
      <c r="F33" s="518"/>
      <c r="G33" s="427"/>
      <c r="H33" s="427"/>
      <c r="I33" s="427"/>
      <c r="J33" s="427"/>
      <c r="K33" s="523"/>
      <c r="L33" s="521"/>
      <c r="M33" s="426"/>
      <c r="N33" s="427"/>
      <c r="O33" s="427"/>
      <c r="P33" s="427"/>
      <c r="Q33" s="427"/>
      <c r="R33" s="429"/>
    </row>
    <row r="34" spans="1:18" s="427" customFormat="1" ht="39.950000000000003" customHeight="1" x14ac:dyDescent="0.25">
      <c r="B34" s="511" t="s">
        <v>214</v>
      </c>
      <c r="C34" s="512"/>
      <c r="D34" s="512"/>
      <c r="E34" s="512"/>
      <c r="F34" s="512"/>
      <c r="G34" s="513"/>
      <c r="H34" s="513"/>
      <c r="I34" s="513"/>
      <c r="J34" s="514"/>
      <c r="K34" s="515">
        <v>1</v>
      </c>
      <c r="L34" s="516" t="s">
        <v>4</v>
      </c>
    </row>
    <row r="35" spans="1:18" s="425" customFormat="1" ht="5.0999999999999996" customHeight="1" x14ac:dyDescent="0.25">
      <c r="A35" s="427"/>
      <c r="B35" s="508"/>
      <c r="C35" s="427"/>
      <c r="D35" s="427"/>
      <c r="E35" s="427"/>
      <c r="F35" s="427"/>
      <c r="G35" s="427"/>
      <c r="H35" s="427"/>
      <c r="I35" s="427"/>
      <c r="J35" s="427"/>
      <c r="K35" s="524"/>
      <c r="L35" s="525"/>
      <c r="M35" s="426"/>
      <c r="N35" s="427"/>
      <c r="O35" s="427"/>
      <c r="P35" s="427"/>
      <c r="Q35" s="427"/>
      <c r="R35" s="429"/>
    </row>
    <row r="36" spans="1:18" s="427" customFormat="1" ht="39.950000000000003" customHeight="1" thickBot="1" x14ac:dyDescent="0.3">
      <c r="B36" s="526" t="s">
        <v>214</v>
      </c>
      <c r="C36" s="527"/>
      <c r="D36" s="527"/>
      <c r="E36" s="527"/>
      <c r="F36" s="527"/>
      <c r="G36" s="528"/>
      <c r="H36" s="528"/>
      <c r="I36" s="528"/>
      <c r="J36" s="529"/>
      <c r="K36" s="530">
        <v>1</v>
      </c>
      <c r="L36" s="531" t="s">
        <v>4</v>
      </c>
    </row>
    <row r="37" spans="1:18" s="429" customFormat="1" ht="39.950000000000003" customHeight="1" x14ac:dyDescent="0.25">
      <c r="A37" s="427"/>
      <c r="M37" s="426"/>
    </row>
    <row r="38" spans="1:18" s="427" customFormat="1" ht="39.950000000000003" customHeight="1" thickBot="1" x14ac:dyDescent="0.3">
      <c r="R38" s="509"/>
    </row>
    <row r="39" spans="1:18" s="425" customFormat="1" ht="39.950000000000003" customHeight="1" thickBot="1" x14ac:dyDescent="0.3">
      <c r="B39" s="1409" t="s">
        <v>146</v>
      </c>
      <c r="C39" s="1410"/>
      <c r="D39" s="1410"/>
      <c r="E39" s="1410"/>
      <c r="F39" s="1410"/>
      <c r="G39" s="1410"/>
      <c r="H39" s="1410"/>
      <c r="I39" s="1410"/>
      <c r="J39" s="1410"/>
      <c r="K39" s="1410"/>
      <c r="L39" s="1410"/>
      <c r="M39" s="1410"/>
      <c r="N39" s="1410"/>
      <c r="O39" s="1410"/>
      <c r="P39" s="1410"/>
      <c r="Q39" s="1411"/>
    </row>
    <row r="40" spans="1:18" s="425" customFormat="1" ht="39.950000000000003" customHeight="1" thickBot="1" x14ac:dyDescent="0.3">
      <c r="A40" s="429"/>
      <c r="B40" s="1321" t="s">
        <v>339</v>
      </c>
      <c r="C40" s="1424"/>
      <c r="D40" s="532" t="s">
        <v>340</v>
      </c>
      <c r="E40" s="532" t="s">
        <v>341</v>
      </c>
      <c r="F40" s="532" t="s">
        <v>98</v>
      </c>
      <c r="G40" s="532" t="s">
        <v>149</v>
      </c>
      <c r="H40" s="532" t="s">
        <v>342</v>
      </c>
      <c r="I40" s="532"/>
      <c r="J40" s="532" t="s">
        <v>343</v>
      </c>
      <c r="K40" s="532"/>
      <c r="L40" s="147" t="s">
        <v>344</v>
      </c>
      <c r="M40" s="532" t="s">
        <v>98</v>
      </c>
      <c r="N40" s="147" t="s">
        <v>215</v>
      </c>
      <c r="O40" s="532" t="s">
        <v>153</v>
      </c>
      <c r="P40" s="532" t="s">
        <v>345</v>
      </c>
      <c r="Q40" s="533" t="s">
        <v>346</v>
      </c>
    </row>
    <row r="41" spans="1:18" s="427" customFormat="1" ht="39.950000000000003" customHeight="1" thickBot="1" x14ac:dyDescent="0.3">
      <c r="B41" s="534"/>
      <c r="C41" s="428"/>
      <c r="D41" s="428"/>
      <c r="E41" s="428"/>
      <c r="F41" s="428"/>
      <c r="G41" s="428"/>
      <c r="H41" s="428"/>
      <c r="I41" s="428"/>
      <c r="J41" s="428"/>
      <c r="K41" s="428"/>
      <c r="L41" s="428"/>
      <c r="M41" s="428"/>
      <c r="N41" s="428"/>
      <c r="O41" s="428"/>
      <c r="P41" s="428"/>
      <c r="Q41" s="510"/>
    </row>
    <row r="42" spans="1:18" s="425" customFormat="1" ht="39.950000000000003" customHeight="1" x14ac:dyDescent="0.25">
      <c r="A42" s="1437"/>
      <c r="B42" s="1440" t="s">
        <v>347</v>
      </c>
      <c r="C42" s="1441"/>
      <c r="D42" s="535" t="e">
        <f>U14</f>
        <v>#N/A</v>
      </c>
      <c r="E42" s="536"/>
      <c r="F42" s="537" t="s">
        <v>4</v>
      </c>
      <c r="G42" s="538"/>
      <c r="H42" s="538"/>
      <c r="I42" s="539"/>
      <c r="J42" s="538"/>
      <c r="K42" s="538"/>
      <c r="L42" s="539"/>
      <c r="M42" s="540"/>
      <c r="N42" s="540"/>
      <c r="O42" s="540"/>
      <c r="P42" s="540"/>
      <c r="Q42" s="541"/>
      <c r="R42" s="429"/>
    </row>
    <row r="43" spans="1:18" s="425" customFormat="1" ht="39.950000000000003" customHeight="1" x14ac:dyDescent="0.25">
      <c r="A43" s="1437"/>
      <c r="B43" s="1438" t="s">
        <v>348</v>
      </c>
      <c r="C43" s="1439"/>
      <c r="D43" s="542" t="e">
        <f>R11</f>
        <v>#N/A</v>
      </c>
      <c r="E43" s="543" t="e">
        <f>F8</f>
        <v>#N/A</v>
      </c>
      <c r="F43" s="537" t="s">
        <v>4</v>
      </c>
      <c r="G43" s="544" t="e">
        <f>G8</f>
        <v>#N/A</v>
      </c>
      <c r="H43" s="545" t="e">
        <f>E43/G43</f>
        <v>#N/A</v>
      </c>
      <c r="I43" s="537" t="str">
        <f>F42</f>
        <v>mL</v>
      </c>
      <c r="J43" s="546">
        <v>0.05</v>
      </c>
      <c r="K43" s="537" t="s">
        <v>4</v>
      </c>
      <c r="L43" s="545" t="e">
        <f>J43*H43</f>
        <v>#N/A</v>
      </c>
      <c r="M43" s="537" t="s">
        <v>4</v>
      </c>
      <c r="N43" s="546" t="e">
        <f>L43^2</f>
        <v>#N/A</v>
      </c>
      <c r="O43" s="542" t="s">
        <v>216</v>
      </c>
      <c r="P43" s="542" t="s">
        <v>158</v>
      </c>
      <c r="Q43" s="547">
        <v>50</v>
      </c>
      <c r="R43" s="429"/>
    </row>
    <row r="44" spans="1:18" s="425" customFormat="1" ht="39.950000000000003" customHeight="1" x14ac:dyDescent="0.25">
      <c r="A44" s="1437"/>
      <c r="B44" s="1420" t="s">
        <v>349</v>
      </c>
      <c r="C44" s="1421"/>
      <c r="D44" s="546" t="e">
        <f>V18</f>
        <v>#DIV/0!</v>
      </c>
      <c r="E44" s="543" t="e">
        <f>D8</f>
        <v>#N/A</v>
      </c>
      <c r="F44" s="537" t="s">
        <v>4</v>
      </c>
      <c r="G44" s="544" t="e">
        <f>#REF!</f>
        <v>#REF!</v>
      </c>
      <c r="H44" s="548" t="e">
        <f>SQRT((H43)^2+(Q21)^2)</f>
        <v>#N/A</v>
      </c>
      <c r="I44" s="537" t="str">
        <f>F43</f>
        <v>mL</v>
      </c>
      <c r="J44" s="546" t="e">
        <f>K28</f>
        <v>#N/A</v>
      </c>
      <c r="K44" s="537" t="s">
        <v>4</v>
      </c>
      <c r="L44" s="545" t="e">
        <f t="shared" ref="L44" si="1">J44*H44</f>
        <v>#N/A</v>
      </c>
      <c r="M44" s="537" t="s">
        <v>4</v>
      </c>
      <c r="N44" s="549" t="e">
        <f t="shared" ref="N44:N45" si="2">L44^2</f>
        <v>#N/A</v>
      </c>
      <c r="O44" s="542" t="s">
        <v>216</v>
      </c>
      <c r="P44" s="542" t="s">
        <v>5</v>
      </c>
      <c r="Q44" s="547">
        <v>50</v>
      </c>
      <c r="R44" s="429"/>
    </row>
    <row r="45" spans="1:18" s="425" customFormat="1" ht="39.950000000000003" customHeight="1" x14ac:dyDescent="0.25">
      <c r="A45" s="427"/>
      <c r="B45" s="1420" t="s">
        <v>217</v>
      </c>
      <c r="C45" s="1421"/>
      <c r="D45" s="550"/>
      <c r="E45" s="542">
        <f>I13/10</f>
        <v>1.6387060000000002</v>
      </c>
      <c r="F45" s="537" t="s">
        <v>4</v>
      </c>
      <c r="G45" s="542">
        <f>SQRT(3)</f>
        <v>1.7320508075688772</v>
      </c>
      <c r="H45" s="546">
        <f>E45/G45</f>
        <v>0.94610735022265502</v>
      </c>
      <c r="I45" s="537" t="str">
        <f>F44</f>
        <v>mL</v>
      </c>
      <c r="J45" s="546">
        <f>J43</f>
        <v>0.05</v>
      </c>
      <c r="K45" s="537" t="s">
        <v>4</v>
      </c>
      <c r="L45" s="549">
        <f>J45*H45</f>
        <v>4.7305367511132755E-2</v>
      </c>
      <c r="M45" s="537" t="s">
        <v>4</v>
      </c>
      <c r="N45" s="549">
        <f t="shared" si="2"/>
        <v>2.2377977953633344E-3</v>
      </c>
      <c r="O45" s="542" t="s">
        <v>218</v>
      </c>
      <c r="P45" s="542" t="s">
        <v>5</v>
      </c>
      <c r="Q45" s="547" t="s">
        <v>12</v>
      </c>
      <c r="R45" s="429"/>
    </row>
    <row r="46" spans="1:18" s="427" customFormat="1" ht="39.950000000000003" customHeight="1" x14ac:dyDescent="0.25">
      <c r="B46" s="551"/>
      <c r="C46" s="552"/>
      <c r="D46" s="552"/>
      <c r="E46" s="426"/>
      <c r="F46" s="553"/>
      <c r="G46" s="426"/>
      <c r="H46" s="426"/>
      <c r="I46" s="426"/>
      <c r="J46" s="554"/>
      <c r="K46" s="426"/>
      <c r="L46" s="426"/>
      <c r="M46" s="426"/>
      <c r="N46" s="426"/>
      <c r="O46" s="426"/>
      <c r="P46" s="426"/>
      <c r="Q46" s="555"/>
    </row>
    <row r="47" spans="1:18" s="425" customFormat="1" ht="39.950000000000003" customHeight="1" x14ac:dyDescent="0.25">
      <c r="A47" s="427"/>
      <c r="B47" s="1420" t="s">
        <v>219</v>
      </c>
      <c r="C47" s="1421"/>
      <c r="D47" s="550"/>
      <c r="E47" s="542">
        <f>I13/10</f>
        <v>1.6387060000000002</v>
      </c>
      <c r="F47" s="537" t="s">
        <v>4</v>
      </c>
      <c r="G47" s="542">
        <f>SQRT(3)</f>
        <v>1.7320508075688772</v>
      </c>
      <c r="H47" s="546">
        <f>E47/G47</f>
        <v>0.94610735022265502</v>
      </c>
      <c r="I47" s="537" t="str">
        <f>$I$45</f>
        <v>mL</v>
      </c>
      <c r="J47" s="556">
        <f>J43</f>
        <v>0.05</v>
      </c>
      <c r="K47" s="537" t="s">
        <v>4</v>
      </c>
      <c r="L47" s="549">
        <f>H47*J47</f>
        <v>4.7305367511132755E-2</v>
      </c>
      <c r="M47" s="537" t="s">
        <v>4</v>
      </c>
      <c r="N47" s="549">
        <f t="shared" ref="N47:N49" si="3">L47^2</f>
        <v>2.2377977953633344E-3</v>
      </c>
      <c r="O47" s="542" t="s">
        <v>218</v>
      </c>
      <c r="P47" s="542" t="s">
        <v>5</v>
      </c>
      <c r="Q47" s="547" t="s">
        <v>12</v>
      </c>
      <c r="R47" s="429"/>
    </row>
    <row r="48" spans="1:18" s="425" customFormat="1" ht="39.950000000000003" customHeight="1" x14ac:dyDescent="0.25">
      <c r="A48" s="427"/>
      <c r="B48" s="1420" t="s">
        <v>220</v>
      </c>
      <c r="C48" s="1421"/>
      <c r="D48" s="550"/>
      <c r="E48" s="546" t="e">
        <f>I13*((C21)/(2*F19))</f>
        <v>#DIV/0!</v>
      </c>
      <c r="F48" s="537" t="s">
        <v>4</v>
      </c>
      <c r="G48" s="542">
        <f>SQRT(12)</f>
        <v>3.4641016151377544</v>
      </c>
      <c r="H48" s="546" t="e">
        <f>E48/G48</f>
        <v>#DIV/0!</v>
      </c>
      <c r="I48" s="537" t="str">
        <f>$I$45</f>
        <v>mL</v>
      </c>
      <c r="J48" s="544">
        <v>1</v>
      </c>
      <c r="K48" s="537" t="s">
        <v>4</v>
      </c>
      <c r="L48" s="549" t="e">
        <f>H48*J48</f>
        <v>#DIV/0!</v>
      </c>
      <c r="M48" s="537" t="s">
        <v>4</v>
      </c>
      <c r="N48" s="549" t="e">
        <f>L48^2</f>
        <v>#DIV/0!</v>
      </c>
      <c r="O48" s="542"/>
      <c r="P48" s="542" t="s">
        <v>5</v>
      </c>
      <c r="Q48" s="547" t="s">
        <v>12</v>
      </c>
      <c r="R48" s="429"/>
    </row>
    <row r="49" spans="1:18" s="425" customFormat="1" ht="39.950000000000003" customHeight="1" thickBot="1" x14ac:dyDescent="0.3">
      <c r="A49" s="427"/>
      <c r="B49" s="1422" t="s">
        <v>221</v>
      </c>
      <c r="C49" s="1423"/>
      <c r="D49" s="557"/>
      <c r="E49" s="558"/>
      <c r="F49" s="559"/>
      <c r="G49" s="558"/>
      <c r="H49" s="560" t="e">
        <f>V16</f>
        <v>#N/A</v>
      </c>
      <c r="I49" s="559" t="str">
        <f>$I$45</f>
        <v>mL</v>
      </c>
      <c r="J49" s="561">
        <v>1</v>
      </c>
      <c r="K49" s="559" t="s">
        <v>4</v>
      </c>
      <c r="L49" s="562" t="e">
        <f>H49*J49</f>
        <v>#N/A</v>
      </c>
      <c r="M49" s="559" t="s">
        <v>4</v>
      </c>
      <c r="N49" s="562" t="e">
        <f t="shared" si="3"/>
        <v>#N/A</v>
      </c>
      <c r="O49" s="558"/>
      <c r="P49" s="558" t="s">
        <v>5</v>
      </c>
      <c r="Q49" s="563">
        <v>2</v>
      </c>
      <c r="R49" s="429"/>
    </row>
    <row r="50" spans="1:18" s="449" customFormat="1" ht="39.950000000000003" customHeight="1" thickBot="1" x14ac:dyDescent="0.25">
      <c r="K50" s="564"/>
      <c r="L50" s="437"/>
      <c r="M50" s="565"/>
      <c r="N50" s="566" t="e">
        <f>SQRT(SUM(N42:N45,N47,N48,N49))</f>
        <v>#N/A</v>
      </c>
      <c r="O50" s="567" t="s">
        <v>4</v>
      </c>
      <c r="P50" s="438"/>
    </row>
    <row r="51" spans="1:18" s="449" customFormat="1" ht="39.950000000000003" customHeight="1" thickBot="1" x14ac:dyDescent="0.25">
      <c r="K51" s="568"/>
      <c r="L51" s="437"/>
      <c r="M51" s="569" t="s">
        <v>178</v>
      </c>
      <c r="N51" s="570" t="e">
        <f>N50*O53</f>
        <v>#N/A</v>
      </c>
      <c r="O51" s="571" t="s">
        <v>4</v>
      </c>
      <c r="P51" s="437"/>
    </row>
    <row r="52" spans="1:18" s="449" customFormat="1" ht="39.950000000000003" customHeight="1" x14ac:dyDescent="0.2">
      <c r="L52" s="509"/>
      <c r="N52" s="572"/>
      <c r="O52" s="573" t="s">
        <v>149</v>
      </c>
      <c r="P52" s="574"/>
    </row>
    <row r="53" spans="1:18" s="449" customFormat="1" ht="39.950000000000003" customHeight="1" thickBot="1" x14ac:dyDescent="0.25">
      <c r="A53" s="575"/>
      <c r="L53" s="576" t="s">
        <v>18</v>
      </c>
      <c r="M53" s="577"/>
      <c r="N53" s="578" t="e">
        <f>(N50^4)/((L43^4/Q43)+(L44^4/Q44)+(L49^4/Q49))</f>
        <v>#N/A</v>
      </c>
      <c r="O53" s="579" t="e">
        <f>_xlfn.T.INV.2T(0.05,N53)</f>
        <v>#N/A</v>
      </c>
      <c r="P53" s="580" t="e">
        <f>TINV(0.05,N53)</f>
        <v>#N/A</v>
      </c>
    </row>
    <row r="54" spans="1:18" s="449" customFormat="1" ht="39.950000000000003" customHeight="1" thickBot="1" x14ac:dyDescent="0.25">
      <c r="B54" s="1402" t="s">
        <v>179</v>
      </c>
      <c r="C54" s="1403"/>
      <c r="D54" s="1403"/>
      <c r="E54" s="1403"/>
      <c r="F54" s="1403"/>
      <c r="G54" s="1404"/>
      <c r="I54" s="597" t="s">
        <v>478</v>
      </c>
    </row>
    <row r="55" spans="1:18" s="449" customFormat="1" ht="39.950000000000003" customHeight="1" thickBot="1" x14ac:dyDescent="0.25">
      <c r="B55" s="636" t="s">
        <v>107</v>
      </c>
      <c r="C55" s="637" t="s">
        <v>222</v>
      </c>
      <c r="D55" s="637" t="s">
        <v>326</v>
      </c>
      <c r="E55" s="581" t="s">
        <v>149</v>
      </c>
      <c r="F55" s="637" t="s">
        <v>7</v>
      </c>
      <c r="G55" s="582" t="s">
        <v>8</v>
      </c>
      <c r="I55" s="598"/>
    </row>
    <row r="56" spans="1:18" s="449" customFormat="1" ht="39.950000000000003" customHeight="1" x14ac:dyDescent="0.2">
      <c r="B56" s="638" t="s">
        <v>4</v>
      </c>
      <c r="C56" s="583" t="e">
        <f>V14</f>
        <v>#N/A</v>
      </c>
      <c r="D56" s="583" t="e">
        <f>N50</f>
        <v>#N/A</v>
      </c>
      <c r="E56" s="1395" t="e">
        <f>O53</f>
        <v>#N/A</v>
      </c>
      <c r="F56" s="548" t="e">
        <f>N51</f>
        <v>#N/A</v>
      </c>
      <c r="G56" s="1392">
        <v>0.95</v>
      </c>
    </row>
    <row r="57" spans="1:18" s="449" customFormat="1" ht="39.950000000000003" customHeight="1" x14ac:dyDescent="0.2">
      <c r="B57" s="638" t="s">
        <v>327</v>
      </c>
      <c r="C57" s="652" t="e">
        <f>C56/J22</f>
        <v>#N/A</v>
      </c>
      <c r="D57" s="682" t="e">
        <f>C57/J22</f>
        <v>#N/A</v>
      </c>
      <c r="E57" s="1396"/>
      <c r="F57" s="545" t="e">
        <f>F56/J22</f>
        <v>#N/A</v>
      </c>
      <c r="G57" s="1393"/>
    </row>
    <row r="58" spans="1:18" s="449" customFormat="1" ht="39.950000000000003" customHeight="1" thickBot="1" x14ac:dyDescent="0.25">
      <c r="B58" s="639" t="s">
        <v>483</v>
      </c>
      <c r="C58" s="650" t="e">
        <f>(C57*100)/K20</f>
        <v>#N/A</v>
      </c>
      <c r="D58" s="650" t="e">
        <f>(D57*100)/1155</f>
        <v>#N/A</v>
      </c>
      <c r="E58" s="1397"/>
      <c r="F58" s="664" t="e">
        <f t="shared" ref="F58" si="4">(F57*100)/1155</f>
        <v>#N/A</v>
      </c>
      <c r="G58" s="1394"/>
    </row>
    <row r="59" spans="1:18" s="449" customFormat="1" x14ac:dyDescent="0.2"/>
    <row r="60" spans="1:18" s="449" customFormat="1" x14ac:dyDescent="0.2"/>
    <row r="61" spans="1:18" s="449" customFormat="1" x14ac:dyDescent="0.2"/>
  </sheetData>
  <sheetProtection algorithmName="SHA-512" hashValue="XrM0vbgOqwm/gkozpLy+aFkFCzSKGn3nkTCWiCD92DhsfpTRMEtsyT/hhLh4+oyRrKTmB9V8MdK9UCnyWb9+sA==" saltValue="AW/LOUPPFgyxzE7dtOmhLQ==" spinCount="100000" sheet="1" objects="1" scenarios="1"/>
  <dataConsolidate/>
  <mergeCells count="44">
    <mergeCell ref="A1:B1"/>
    <mergeCell ref="L6:P7"/>
    <mergeCell ref="D3:E3"/>
    <mergeCell ref="G3:H3"/>
    <mergeCell ref="J3:K3"/>
    <mergeCell ref="P3:R3"/>
    <mergeCell ref="Q6:V7"/>
    <mergeCell ref="A6:G6"/>
    <mergeCell ref="H6:I6"/>
    <mergeCell ref="J6:K6"/>
    <mergeCell ref="H7:I7"/>
    <mergeCell ref="D1:V1"/>
    <mergeCell ref="A42:A44"/>
    <mergeCell ref="B45:C45"/>
    <mergeCell ref="B44:C44"/>
    <mergeCell ref="B43:C43"/>
    <mergeCell ref="B42:C42"/>
    <mergeCell ref="T8:T10"/>
    <mergeCell ref="U8:U10"/>
    <mergeCell ref="V8:V10"/>
    <mergeCell ref="B48:C48"/>
    <mergeCell ref="B49:C49"/>
    <mergeCell ref="B39:Q39"/>
    <mergeCell ref="B40:C40"/>
    <mergeCell ref="H8:I8"/>
    <mergeCell ref="R8:R10"/>
    <mergeCell ref="S8:S10"/>
    <mergeCell ref="Q19:S20"/>
    <mergeCell ref="Q21:S21"/>
    <mergeCell ref="B24:L24"/>
    <mergeCell ref="H10:I10"/>
    <mergeCell ref="B17:F17"/>
    <mergeCell ref="B47:C47"/>
    <mergeCell ref="G17:K17"/>
    <mergeCell ref="G56:G58"/>
    <mergeCell ref="E56:E58"/>
    <mergeCell ref="R11:R13"/>
    <mergeCell ref="Q8:Q10"/>
    <mergeCell ref="B54:G54"/>
    <mergeCell ref="B11:C11"/>
    <mergeCell ref="D11:E11"/>
    <mergeCell ref="B10:E10"/>
    <mergeCell ref="J8:K8"/>
    <mergeCell ref="Q11:Q13"/>
  </mergeCells>
  <pageMargins left="0.70866141732283472" right="0.70866141732283472" top="0.74803149606299213" bottom="0.74803149606299213" header="0.31496062992125984" footer="0.31496062992125984"/>
  <pageSetup scale="10" orientation="landscape" horizontalDpi="4294967293" r:id="rId1"/>
  <rowBreaks count="1" manualBreakCount="1">
    <brk id="36" max="21" man="1"/>
  </rowBreaks>
  <colBreaks count="2" manualBreakCount="2">
    <brk id="22" max="60" man="1"/>
    <brk id="26" max="63" man="1"/>
  </colBreaks>
  <ignoredErrors>
    <ignoredError sqref="Q11:R11"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DATOS!$D$7:$D$9</xm:f>
          </x14:formula1>
          <xm:sqref>S3</xm:sqref>
        </x14:dataValidation>
        <x14:dataValidation type="list" allowBlank="1" showInputMessage="1" showErrorMessage="1">
          <x14:formula1>
            <xm:f>DATOS!$Q$8:$Q$12</xm:f>
          </x14:formula1>
          <xm:sqref>K7</xm:sqref>
        </x14:dataValidation>
        <x14:dataValidation type="list" allowBlank="1" showInputMessage="1" showErrorMessage="1">
          <x14:formula1>
            <xm:f>DATOS!$Q$18:$Q$21</xm:f>
          </x14:formula1>
          <xm:sqref>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showGridLines="0" view="pageBreakPreview" zoomScale="112" zoomScaleNormal="100" zoomScaleSheetLayoutView="112" workbookViewId="0">
      <selection activeCell="F170" sqref="F169:F170"/>
    </sheetView>
  </sheetViews>
  <sheetFormatPr baseColWidth="10" defaultRowHeight="15.75" x14ac:dyDescent="0.25"/>
  <cols>
    <col min="1" max="1" width="6.28515625" style="1" customWidth="1"/>
    <col min="2" max="2" width="7.85546875" style="1" customWidth="1"/>
    <col min="3" max="3" width="7.42578125" style="1" customWidth="1"/>
    <col min="4" max="4" width="6.28515625" style="1" customWidth="1"/>
    <col min="5" max="5" width="10.7109375" style="1" customWidth="1"/>
    <col min="6" max="6" width="12.7109375" style="1" customWidth="1"/>
    <col min="7" max="7" width="6.28515625" style="1" customWidth="1"/>
    <col min="8" max="8" width="15.5703125" style="1" customWidth="1"/>
    <col min="9" max="10" width="7.28515625" style="1" customWidth="1"/>
    <col min="11" max="11" width="4.5703125" style="1" customWidth="1"/>
    <col min="12" max="12" width="3.28515625" style="1" customWidth="1"/>
    <col min="13" max="13" width="8.28515625" style="1" customWidth="1"/>
    <col min="14" max="14" width="10.140625" style="1" customWidth="1"/>
    <col min="15" max="15" width="8" style="1" customWidth="1"/>
    <col min="16" max="16" width="13.85546875" style="1" customWidth="1"/>
    <col min="17" max="17" width="0.5703125" style="1" customWidth="1"/>
    <col min="18" max="18" width="1.7109375" style="1" customWidth="1"/>
    <col min="19" max="16384" width="11.42578125" style="1"/>
  </cols>
  <sheetData>
    <row r="1" spans="1:11" ht="14.25" customHeight="1" x14ac:dyDescent="0.25">
      <c r="A1" s="1467"/>
      <c r="B1" s="1467"/>
      <c r="C1" s="1467"/>
      <c r="D1" s="1467"/>
      <c r="E1" s="1467"/>
      <c r="F1" s="1467"/>
      <c r="G1" s="1467"/>
      <c r="H1" s="1467"/>
      <c r="I1" s="1467"/>
      <c r="J1" s="1467"/>
      <c r="K1" s="1467"/>
    </row>
    <row r="2" spans="1:11" ht="14.25" customHeight="1" x14ac:dyDescent="0.25">
      <c r="A2" s="1467"/>
      <c r="B2" s="1467"/>
      <c r="C2" s="1467"/>
      <c r="D2" s="1467"/>
      <c r="E2" s="1467"/>
      <c r="F2" s="1467"/>
      <c r="G2" s="1467"/>
      <c r="H2" s="1467"/>
      <c r="I2" s="1467"/>
      <c r="J2" s="1467"/>
      <c r="K2" s="1467"/>
    </row>
    <row r="3" spans="1:11" ht="14.25" customHeight="1" x14ac:dyDescent="0.25">
      <c r="A3" s="1467"/>
      <c r="B3" s="1467"/>
      <c r="C3" s="1467"/>
      <c r="D3" s="1467"/>
      <c r="E3" s="1467"/>
      <c r="F3" s="1467"/>
      <c r="G3" s="1467"/>
      <c r="H3" s="1467"/>
      <c r="I3" s="1467"/>
      <c r="J3" s="1467"/>
      <c r="K3" s="1467"/>
    </row>
    <row r="4" spans="1:11" ht="14.25" customHeight="1" x14ac:dyDescent="0.25">
      <c r="A4" s="1467"/>
      <c r="B4" s="1467"/>
      <c r="C4" s="1467"/>
      <c r="D4" s="1467"/>
      <c r="E4" s="1467"/>
      <c r="F4" s="1467"/>
      <c r="G4" s="1467"/>
      <c r="H4" s="1467"/>
      <c r="I4" s="1467"/>
      <c r="J4" s="1467"/>
      <c r="K4" s="1467"/>
    </row>
    <row r="5" spans="1:11" ht="14.25" customHeight="1" x14ac:dyDescent="0.25">
      <c r="A5" s="1467"/>
      <c r="B5" s="1467"/>
      <c r="C5" s="1467"/>
      <c r="D5" s="1467"/>
      <c r="E5" s="1467"/>
      <c r="F5" s="1467"/>
      <c r="G5" s="1467"/>
      <c r="H5" s="1467"/>
      <c r="I5" s="1467"/>
      <c r="J5" s="1467"/>
      <c r="K5" s="1467"/>
    </row>
    <row r="6" spans="1:11" ht="15" customHeight="1" x14ac:dyDescent="0.25">
      <c r="A6" s="1461" t="s">
        <v>68</v>
      </c>
      <c r="B6" s="1461"/>
      <c r="C6" s="1461"/>
      <c r="D6" s="1461"/>
      <c r="E6" s="1048"/>
      <c r="F6" s="9" t="s">
        <v>495</v>
      </c>
      <c r="I6" s="982" t="e">
        <f>'RT03-F11'!P3</f>
        <v>#N/A</v>
      </c>
    </row>
    <row r="7" spans="1:11" ht="12" customHeight="1" x14ac:dyDescent="0.25">
      <c r="A7" s="83"/>
      <c r="B7" s="83"/>
      <c r="C7" s="83"/>
      <c r="D7" s="9"/>
      <c r="E7" s="9"/>
      <c r="F7" s="9"/>
    </row>
    <row r="8" spans="1:11" ht="15" customHeight="1" x14ac:dyDescent="0.25">
      <c r="A8" s="1517" t="s">
        <v>69</v>
      </c>
      <c r="B8" s="1517"/>
      <c r="C8" s="83"/>
      <c r="D8" s="1458" t="s">
        <v>496</v>
      </c>
      <c r="E8" s="1458"/>
      <c r="F8" s="1458"/>
      <c r="G8" s="613"/>
      <c r="H8" s="613"/>
    </row>
    <row r="9" spans="1:11" ht="21.75" customHeight="1" x14ac:dyDescent="0.25">
      <c r="A9" s="1517" t="s">
        <v>42</v>
      </c>
      <c r="B9" s="1517"/>
      <c r="C9" s="83"/>
      <c r="D9" s="1458">
        <f>DATOS!K8</f>
        <v>0</v>
      </c>
      <c r="E9" s="1458"/>
      <c r="F9" s="1458"/>
      <c r="G9" s="613"/>
      <c r="H9" s="613"/>
      <c r="I9" s="613"/>
      <c r="J9" s="613"/>
    </row>
    <row r="10" spans="1:11" ht="15" customHeight="1" x14ac:dyDescent="0.25">
      <c r="A10" s="1517" t="s">
        <v>70</v>
      </c>
      <c r="B10" s="1517"/>
      <c r="C10" s="83"/>
      <c r="D10" s="1458"/>
      <c r="E10" s="1458"/>
      <c r="F10" s="1458"/>
      <c r="G10" s="1458"/>
    </row>
    <row r="11" spans="1:11" ht="12" customHeight="1" x14ac:dyDescent="0.25">
      <c r="A11" s="84"/>
      <c r="B11" s="84"/>
      <c r="C11" s="83"/>
      <c r="D11" s="9"/>
      <c r="E11" s="9"/>
      <c r="F11" s="9"/>
      <c r="G11" s="9"/>
    </row>
    <row r="12" spans="1:11" ht="12" customHeight="1" x14ac:dyDescent="0.25">
      <c r="A12" s="1517" t="s">
        <v>31</v>
      </c>
      <c r="B12" s="1517"/>
      <c r="C12" s="1517"/>
      <c r="D12" s="1523" t="e">
        <f>'RT03-F11'!D3</f>
        <v>#N/A</v>
      </c>
      <c r="E12" s="1523"/>
      <c r="F12" s="1524" t="s">
        <v>32</v>
      </c>
      <c r="G12" s="1524"/>
      <c r="H12" s="1523" t="e">
        <f>'RT03-F11'!M3</f>
        <v>#N/A</v>
      </c>
      <c r="I12" s="1523"/>
      <c r="J12" s="1523"/>
    </row>
    <row r="13" spans="1:11" ht="12" customHeight="1" x14ac:dyDescent="0.25">
      <c r="A13" s="1517"/>
      <c r="B13" s="1517"/>
      <c r="C13" s="91"/>
      <c r="D13" s="1517"/>
      <c r="E13" s="1517"/>
      <c r="F13" s="1517"/>
      <c r="I13" s="1017"/>
      <c r="J13" s="1017"/>
      <c r="K13" s="1017"/>
    </row>
    <row r="14" spans="1:11" ht="20.100000000000001" customHeight="1" x14ac:dyDescent="0.25">
      <c r="A14" s="1518" t="s">
        <v>71</v>
      </c>
      <c r="B14" s="1518"/>
      <c r="C14" s="1518"/>
      <c r="D14" s="1518"/>
      <c r="E14" s="1518"/>
      <c r="F14" s="1518"/>
      <c r="G14" s="111"/>
      <c r="H14" s="111"/>
      <c r="I14" s="1017"/>
      <c r="J14" s="1017"/>
      <c r="K14" s="1017"/>
    </row>
    <row r="15" spans="1:11" ht="12" customHeight="1" x14ac:dyDescent="0.25">
      <c r="A15" s="83"/>
      <c r="B15" s="83"/>
      <c r="C15" s="83"/>
      <c r="D15" s="83"/>
      <c r="E15" s="83"/>
      <c r="F15" s="9"/>
      <c r="I15" s="1017"/>
      <c r="J15" s="1017"/>
      <c r="K15" s="1017"/>
    </row>
    <row r="16" spans="1:11" ht="15" customHeight="1" x14ac:dyDescent="0.25">
      <c r="A16" s="1517" t="s">
        <v>28</v>
      </c>
      <c r="B16" s="1517"/>
      <c r="C16" s="1517"/>
      <c r="D16" s="1520" t="s">
        <v>355</v>
      </c>
      <c r="E16" s="1520"/>
      <c r="F16" s="1520"/>
      <c r="G16" s="1520"/>
      <c r="H16" s="1520"/>
      <c r="I16" s="1017"/>
      <c r="J16" s="1017"/>
      <c r="K16" s="1017"/>
    </row>
    <row r="17" spans="1:13" ht="15" customHeight="1" x14ac:dyDescent="0.25">
      <c r="A17" s="1517" t="s">
        <v>29</v>
      </c>
      <c r="B17" s="1517"/>
      <c r="C17" s="1517"/>
      <c r="D17" s="1458">
        <f>DATOS!C15</f>
        <v>0</v>
      </c>
      <c r="E17" s="1458"/>
      <c r="F17" s="1458"/>
      <c r="G17" s="1458"/>
      <c r="I17" s="1017"/>
      <c r="J17" s="1017"/>
      <c r="K17" s="1017"/>
    </row>
    <row r="18" spans="1:13" ht="15" customHeight="1" x14ac:dyDescent="0.25">
      <c r="A18" s="1517" t="s">
        <v>30</v>
      </c>
      <c r="B18" s="1517"/>
      <c r="C18" s="1517"/>
      <c r="D18" s="1458">
        <f>DATOS!E15</f>
        <v>0</v>
      </c>
      <c r="E18" s="1458"/>
      <c r="F18" s="1458"/>
      <c r="G18" s="1458"/>
      <c r="I18" s="1017"/>
      <c r="J18" s="1017"/>
      <c r="K18" s="1017"/>
    </row>
    <row r="19" spans="1:13" ht="12" customHeight="1" x14ac:dyDescent="0.25">
      <c r="A19" s="84"/>
      <c r="B19" s="84"/>
      <c r="C19" s="84"/>
      <c r="D19" s="85"/>
      <c r="E19" s="85"/>
      <c r="F19" s="85"/>
      <c r="G19" s="85"/>
      <c r="I19" s="1017"/>
      <c r="J19" s="1017"/>
      <c r="K19" s="1017"/>
    </row>
    <row r="20" spans="1:13" ht="20.100000000000001" customHeight="1" x14ac:dyDescent="0.25">
      <c r="A20" s="1518" t="s">
        <v>223</v>
      </c>
      <c r="B20" s="1518"/>
      <c r="C20" s="1518"/>
      <c r="D20" s="1518"/>
      <c r="E20" s="1518"/>
      <c r="F20" s="1518"/>
      <c r="G20" s="1518"/>
      <c r="H20" s="1518"/>
      <c r="I20" s="1518"/>
      <c r="J20" s="1518"/>
      <c r="K20" s="1518"/>
    </row>
    <row r="21" spans="1:13" ht="21.75" customHeight="1" x14ac:dyDescent="0.25">
      <c r="A21" s="1519" t="e">
        <f>'RT03-F11'!J3</f>
        <v>#N/A</v>
      </c>
      <c r="B21" s="1519"/>
      <c r="C21" s="1519"/>
      <c r="D21" s="1519"/>
      <c r="E21" s="1519"/>
      <c r="F21" s="91"/>
      <c r="G21" s="91"/>
      <c r="H21" s="91"/>
      <c r="I21" s="91"/>
      <c r="J21" s="91"/>
    </row>
    <row r="22" spans="1:13" ht="12" customHeight="1" x14ac:dyDescent="0.25">
      <c r="A22" s="2"/>
      <c r="B22" s="2"/>
      <c r="C22" s="2"/>
      <c r="D22" s="2"/>
      <c r="E22" s="2"/>
      <c r="F22" s="2"/>
      <c r="G22" s="2"/>
      <c r="H22" s="2"/>
      <c r="I22" s="2"/>
      <c r="J22" s="2"/>
    </row>
    <row r="23" spans="1:13" ht="20.100000000000001" customHeight="1" x14ac:dyDescent="0.25">
      <c r="A23" s="1518" t="s">
        <v>479</v>
      </c>
      <c r="B23" s="1518"/>
      <c r="C23" s="1518"/>
      <c r="D23" s="1518"/>
      <c r="E23" s="1519" t="e">
        <f>'RT03-F11'!G3</f>
        <v>#N/A</v>
      </c>
      <c r="F23" s="1519"/>
      <c r="G23" s="1519"/>
      <c r="H23" s="1461"/>
      <c r="I23" s="1461"/>
      <c r="K23" s="1517"/>
      <c r="L23" s="1517"/>
      <c r="M23" s="1517"/>
    </row>
    <row r="24" spans="1:13" ht="9.9499999999999993" customHeight="1" x14ac:dyDescent="0.25">
      <c r="A24" s="2"/>
      <c r="B24" s="2"/>
      <c r="C24" s="2"/>
      <c r="D24" s="2"/>
      <c r="E24" s="2"/>
      <c r="F24" s="2"/>
      <c r="G24" s="2"/>
      <c r="H24" s="2"/>
      <c r="I24" s="2"/>
      <c r="J24" s="2"/>
    </row>
    <row r="25" spans="1:13" ht="9.9499999999999993" customHeight="1" x14ac:dyDescent="0.25">
      <c r="A25" s="2"/>
      <c r="B25" s="2"/>
      <c r="C25" s="2"/>
      <c r="D25" s="2"/>
      <c r="E25" s="2"/>
      <c r="F25" s="2"/>
      <c r="G25" s="2"/>
      <c r="H25" s="2"/>
      <c r="I25" s="2"/>
      <c r="J25" s="2"/>
    </row>
    <row r="26" spans="1:13" ht="15" customHeight="1" x14ac:dyDescent="0.25">
      <c r="A26" s="1521" t="s">
        <v>512</v>
      </c>
      <c r="B26" s="1521"/>
      <c r="C26" s="1521"/>
      <c r="D26" s="1521"/>
      <c r="E26" s="1521"/>
      <c r="F26" s="1521"/>
      <c r="G26" s="1521"/>
      <c r="H26" s="1521"/>
      <c r="I26" s="1521"/>
      <c r="J26" s="1521"/>
      <c r="K26" s="112"/>
      <c r="L26" s="112"/>
      <c r="M26" s="112"/>
    </row>
    <row r="27" spans="1:13" ht="15" customHeight="1" x14ac:dyDescent="0.25">
      <c r="A27" s="1521"/>
      <c r="B27" s="1521"/>
      <c r="C27" s="1521"/>
      <c r="D27" s="1521"/>
      <c r="E27" s="1521"/>
      <c r="F27" s="1521"/>
      <c r="G27" s="1521"/>
      <c r="H27" s="1521"/>
      <c r="I27" s="1521"/>
      <c r="J27" s="1521"/>
    </row>
    <row r="28" spans="1:13" ht="12" customHeight="1" x14ac:dyDescent="0.25">
      <c r="A28" s="1521"/>
      <c r="B28" s="1521"/>
      <c r="C28" s="1521"/>
      <c r="D28" s="1521"/>
      <c r="E28" s="1521"/>
      <c r="F28" s="1521"/>
      <c r="G28" s="1521"/>
      <c r="H28" s="1521"/>
      <c r="I28" s="1521"/>
      <c r="J28" s="1521"/>
    </row>
    <row r="29" spans="1:13" s="589" customFormat="1" ht="24.95" customHeight="1" x14ac:dyDescent="0.25">
      <c r="A29" s="1521" t="s">
        <v>509</v>
      </c>
      <c r="B29" s="1521"/>
      <c r="C29" s="1521"/>
      <c r="D29" s="1521"/>
      <c r="E29" s="1521"/>
      <c r="F29" s="1521"/>
      <c r="G29" s="1521"/>
      <c r="H29" s="1521"/>
      <c r="I29" s="1521"/>
      <c r="J29" s="1521"/>
      <c r="K29" s="1"/>
      <c r="L29" s="1"/>
      <c r="M29" s="1"/>
    </row>
    <row r="30" spans="1:13" s="589" customFormat="1" ht="12" customHeight="1" x14ac:dyDescent="0.25">
      <c r="K30" s="1"/>
      <c r="L30" s="1"/>
      <c r="M30" s="1"/>
    </row>
    <row r="31" spans="1:13" ht="15" customHeight="1" x14ac:dyDescent="0.25">
      <c r="A31" s="1522" t="s">
        <v>510</v>
      </c>
      <c r="B31" s="1522"/>
      <c r="C31" s="1522"/>
      <c r="D31" s="1522"/>
      <c r="E31" s="1522"/>
      <c r="F31" s="1522"/>
      <c r="G31" s="1522"/>
      <c r="H31" s="112"/>
      <c r="I31" s="112"/>
      <c r="J31" s="112"/>
    </row>
    <row r="32" spans="1:13" ht="15" customHeight="1" x14ac:dyDescent="0.25">
      <c r="A32" s="1001"/>
      <c r="B32" s="1001"/>
      <c r="C32" s="1001"/>
      <c r="D32" s="1001"/>
      <c r="E32" s="1001"/>
      <c r="F32" s="1001"/>
      <c r="G32" s="112"/>
      <c r="H32" s="112"/>
      <c r="I32" s="112"/>
      <c r="J32" s="112"/>
    </row>
    <row r="33" spans="1:13" ht="20.100000000000001" customHeight="1" x14ac:dyDescent="0.25">
      <c r="A33" s="1525" t="s">
        <v>72</v>
      </c>
      <c r="B33" s="1525"/>
      <c r="C33" s="1525"/>
      <c r="D33" s="1525"/>
      <c r="E33" s="1525"/>
      <c r="F33" s="1525"/>
      <c r="G33" s="1525"/>
      <c r="H33" s="1525"/>
      <c r="I33" s="1525"/>
    </row>
    <row r="35" spans="1:13" x14ac:dyDescent="0.25">
      <c r="A35" s="1461" t="s">
        <v>43</v>
      </c>
      <c r="B35" s="1461"/>
      <c r="C35" s="1461"/>
      <c r="D35" s="1461"/>
      <c r="E35" s="1461"/>
      <c r="F35" s="1461"/>
      <c r="G35" s="1461"/>
      <c r="H35" s="1461"/>
      <c r="I35" s="1461"/>
      <c r="J35" s="1461"/>
    </row>
    <row r="36" spans="1:13" ht="15" customHeight="1" x14ac:dyDescent="0.25">
      <c r="A36" s="83"/>
      <c r="B36" s="83"/>
      <c r="C36" s="83"/>
      <c r="D36" s="83"/>
      <c r="E36" s="83"/>
      <c r="F36" s="83"/>
      <c r="G36" s="83"/>
      <c r="H36" s="83"/>
      <c r="I36" s="83"/>
      <c r="J36" s="83"/>
    </row>
    <row r="37" spans="1:13" ht="15" customHeight="1" x14ac:dyDescent="0.25">
      <c r="A37" s="1462" t="s">
        <v>49</v>
      </c>
      <c r="B37" s="1462"/>
      <c r="C37" s="1462"/>
      <c r="D37" s="86"/>
      <c r="E37" s="1458" t="s">
        <v>497</v>
      </c>
      <c r="F37" s="1458"/>
      <c r="G37" s="1458"/>
    </row>
    <row r="38" spans="1:13" ht="15" customHeight="1" x14ac:dyDescent="0.25">
      <c r="A38" s="1462" t="s">
        <v>51</v>
      </c>
      <c r="B38" s="1462"/>
      <c r="C38" s="1462"/>
      <c r="D38" s="1462"/>
      <c r="E38" s="1458" t="s">
        <v>498</v>
      </c>
      <c r="F38" s="1458"/>
      <c r="G38" s="1458"/>
    </row>
    <row r="39" spans="1:13" ht="15" customHeight="1" x14ac:dyDescent="0.25">
      <c r="A39" s="1517" t="s">
        <v>50</v>
      </c>
      <c r="B39" s="1517"/>
      <c r="C39" s="1517"/>
      <c r="E39" s="1517" t="s">
        <v>498</v>
      </c>
      <c r="F39" s="1517"/>
      <c r="G39" s="1517"/>
    </row>
    <row r="40" spans="1:13" ht="15" customHeight="1" x14ac:dyDescent="0.25">
      <c r="A40" s="1517" t="s">
        <v>73</v>
      </c>
      <c r="B40" s="1517"/>
      <c r="C40" s="1517"/>
      <c r="D40" s="1517"/>
      <c r="E40" s="1527">
        <f>DATOS!G15</f>
        <v>0</v>
      </c>
      <c r="F40" s="1517"/>
      <c r="G40" s="1517"/>
      <c r="H40" s="1517"/>
      <c r="J40" s="89"/>
    </row>
    <row r="41" spans="1:13" ht="15" customHeight="1" x14ac:dyDescent="0.25">
      <c r="A41" s="1517" t="s">
        <v>356</v>
      </c>
      <c r="B41" s="1517"/>
      <c r="C41" s="1517"/>
      <c r="E41" s="1458" t="s">
        <v>74</v>
      </c>
      <c r="F41" s="1458"/>
      <c r="G41" s="1458"/>
    </row>
    <row r="42" spans="1:13" ht="15.75" customHeight="1" x14ac:dyDescent="0.25">
      <c r="A42" s="1517" t="s">
        <v>53</v>
      </c>
      <c r="B42" s="1517"/>
      <c r="C42" s="1517"/>
      <c r="E42" s="5" t="s">
        <v>499</v>
      </c>
    </row>
    <row r="43" spans="1:13" ht="15.75" customHeight="1" x14ac:dyDescent="0.25">
      <c r="A43" s="1517" t="s">
        <v>56</v>
      </c>
      <c r="B43" s="1517"/>
      <c r="C43" s="1517"/>
      <c r="D43" s="1517"/>
      <c r="E43" s="1526">
        <f>DATOS!D15</f>
        <v>0</v>
      </c>
      <c r="F43" s="1458"/>
      <c r="G43" s="1458"/>
    </row>
    <row r="44" spans="1:13" ht="12" customHeight="1" x14ac:dyDescent="0.25">
      <c r="A44" s="1517" t="s">
        <v>54</v>
      </c>
      <c r="B44" s="1517"/>
      <c r="C44" s="1517"/>
      <c r="E44" s="1458" t="s">
        <v>475</v>
      </c>
      <c r="F44" s="1458"/>
      <c r="G44" s="1458"/>
      <c r="H44" s="1458"/>
      <c r="I44" s="1458"/>
      <c r="K44" s="113"/>
      <c r="L44" s="113"/>
      <c r="M44" s="113"/>
    </row>
    <row r="45" spans="1:13" ht="12" customHeight="1" x14ac:dyDescent="0.25"/>
    <row r="46" spans="1:13" ht="20.100000000000001" customHeight="1" x14ac:dyDescent="0.25">
      <c r="A46" s="1515" t="s">
        <v>224</v>
      </c>
      <c r="B46" s="1515"/>
      <c r="C46" s="1515"/>
      <c r="D46" s="1515"/>
      <c r="E46" s="1515"/>
      <c r="F46" s="1515"/>
      <c r="G46" s="1515"/>
      <c r="H46" s="1515"/>
      <c r="I46" s="609"/>
      <c r="J46" s="6"/>
    </row>
    <row r="47" spans="1:13" ht="15" customHeight="1" x14ac:dyDescent="0.25">
      <c r="A47" s="85"/>
      <c r="B47" s="85"/>
      <c r="C47" s="85"/>
      <c r="D47" s="85"/>
      <c r="E47" s="85"/>
      <c r="F47" s="85"/>
      <c r="G47" s="85"/>
      <c r="H47" s="85"/>
      <c r="I47" s="85"/>
    </row>
    <row r="48" spans="1:13" ht="15" customHeight="1" x14ac:dyDescent="0.25">
      <c r="A48" s="1455" t="s">
        <v>511</v>
      </c>
      <c r="B48" s="1455"/>
      <c r="C48" s="1455"/>
      <c r="D48" s="1455"/>
      <c r="E48" s="1455"/>
      <c r="F48" s="1455"/>
      <c r="G48" s="1455"/>
      <c r="H48" s="1455"/>
      <c r="I48" s="1455"/>
      <c r="J48" s="1455"/>
    </row>
    <row r="49" spans="1:13" ht="15" customHeight="1" x14ac:dyDescent="0.25">
      <c r="A49" s="1455"/>
      <c r="B49" s="1455"/>
      <c r="C49" s="1455"/>
      <c r="D49" s="1455"/>
      <c r="E49" s="1455"/>
      <c r="F49" s="1455"/>
      <c r="G49" s="1455"/>
      <c r="H49" s="1455"/>
      <c r="I49" s="1455"/>
      <c r="J49" s="1455"/>
    </row>
    <row r="50" spans="1:13" ht="15" customHeight="1" x14ac:dyDescent="0.25">
      <c r="A50" s="1455"/>
      <c r="B50" s="1455"/>
      <c r="C50" s="1455"/>
      <c r="D50" s="1455"/>
      <c r="E50" s="1455"/>
      <c r="F50" s="1455"/>
      <c r="G50" s="1455"/>
      <c r="H50" s="1455"/>
      <c r="I50" s="1455"/>
      <c r="J50" s="1455"/>
    </row>
    <row r="51" spans="1:13" ht="15" customHeight="1" x14ac:dyDescent="0.25">
      <c r="A51" s="1455"/>
      <c r="B51" s="1455"/>
      <c r="C51" s="1455"/>
      <c r="D51" s="1455"/>
      <c r="E51" s="1455"/>
      <c r="F51" s="1455"/>
      <c r="G51" s="1455"/>
      <c r="H51" s="1455"/>
      <c r="I51" s="1455"/>
      <c r="J51" s="1455"/>
    </row>
    <row r="52" spans="1:13" ht="15" customHeight="1" x14ac:dyDescent="0.25">
      <c r="A52" s="1455"/>
      <c r="B52" s="1455"/>
      <c r="C52" s="1455"/>
      <c r="D52" s="1455"/>
      <c r="E52" s="1455"/>
      <c r="F52" s="1455"/>
      <c r="G52" s="1455"/>
      <c r="H52" s="1455"/>
      <c r="I52" s="1455"/>
      <c r="J52" s="1455"/>
    </row>
    <row r="53" spans="1:13" ht="15" customHeight="1" x14ac:dyDescent="0.25">
      <c r="A53" s="1025"/>
      <c r="B53" s="1025"/>
      <c r="C53" s="1025"/>
      <c r="D53" s="1025"/>
      <c r="E53" s="1025"/>
      <c r="F53" s="1025"/>
      <c r="G53" s="1025"/>
      <c r="H53" s="1025"/>
      <c r="I53" s="1025"/>
      <c r="J53" s="1025"/>
    </row>
    <row r="54" spans="1:13" ht="15" customHeight="1" x14ac:dyDescent="0.25">
      <c r="A54" s="1025"/>
      <c r="B54" s="1025"/>
      <c r="C54" s="1025"/>
      <c r="D54" s="1025"/>
      <c r="E54" s="1025"/>
      <c r="F54" s="1025"/>
      <c r="G54" s="1025"/>
      <c r="H54" s="1025"/>
      <c r="I54" s="1025"/>
      <c r="J54" s="1025"/>
    </row>
    <row r="55" spans="1:13" ht="62.25" customHeight="1" x14ac:dyDescent="0.25">
      <c r="A55" s="1025"/>
      <c r="B55" s="1025"/>
      <c r="C55" s="1025"/>
      <c r="D55" s="1025"/>
      <c r="E55" s="1025"/>
      <c r="F55" s="1025"/>
      <c r="G55" s="1025"/>
      <c r="H55" s="1025"/>
      <c r="I55" s="1025"/>
      <c r="J55" s="1025"/>
    </row>
    <row r="56" spans="1:13" ht="30" customHeight="1" x14ac:dyDescent="0.25">
      <c r="A56" s="1025"/>
      <c r="B56" s="1025"/>
      <c r="C56" s="1025"/>
      <c r="D56" s="1025"/>
      <c r="E56" s="1025"/>
      <c r="F56" s="1025"/>
      <c r="G56" s="1025"/>
      <c r="H56" s="1025"/>
      <c r="I56" s="1025"/>
      <c r="J56" s="1025"/>
    </row>
    <row r="57" spans="1:13" ht="20.100000000000001" customHeight="1" x14ac:dyDescent="0.25">
      <c r="A57" s="1025"/>
      <c r="B57" s="1025"/>
      <c r="C57" s="1025"/>
      <c r="D57" s="1025"/>
      <c r="E57" s="1025"/>
      <c r="F57" s="1025"/>
      <c r="G57" s="1025"/>
      <c r="H57" s="1025"/>
      <c r="I57" s="1025"/>
      <c r="J57" s="1025"/>
      <c r="K57" s="117"/>
      <c r="L57" s="117"/>
      <c r="M57" s="117"/>
    </row>
    <row r="58" spans="1:13" ht="12" customHeight="1" x14ac:dyDescent="0.25">
      <c r="K58" s="117"/>
      <c r="L58" s="117"/>
      <c r="M58" s="117"/>
    </row>
    <row r="59" spans="1:13" s="117" customFormat="1" ht="16.5" customHeight="1" x14ac:dyDescent="0.25">
      <c r="A59" s="1"/>
      <c r="B59" s="1"/>
      <c r="C59" s="1"/>
      <c r="D59" s="1"/>
      <c r="E59" s="1"/>
      <c r="F59" s="1"/>
      <c r="G59" s="1"/>
      <c r="H59" s="1"/>
      <c r="I59" s="1"/>
      <c r="J59" s="1"/>
    </row>
    <row r="60" spans="1:13" s="117" customFormat="1" ht="16.5" customHeight="1" x14ac:dyDescent="0.2">
      <c r="A60" s="1516" t="s">
        <v>58</v>
      </c>
      <c r="B60" s="1516"/>
      <c r="C60" s="115"/>
      <c r="D60" s="115"/>
      <c r="E60" s="115"/>
      <c r="F60" s="115"/>
      <c r="G60" s="115"/>
      <c r="H60" s="115"/>
      <c r="I60" s="115"/>
      <c r="J60" s="116"/>
    </row>
    <row r="61" spans="1:13" s="117" customFormat="1" ht="16.5" customHeight="1" x14ac:dyDescent="0.2">
      <c r="A61" s="118"/>
      <c r="B61" s="115"/>
      <c r="C61" s="115"/>
      <c r="D61" s="115"/>
      <c r="E61" s="115"/>
      <c r="F61" s="115"/>
      <c r="G61" s="115"/>
      <c r="H61" s="115"/>
      <c r="I61" s="115"/>
      <c r="J61" s="116"/>
    </row>
    <row r="62" spans="1:13" s="117" customFormat="1" ht="16.5" customHeight="1" x14ac:dyDescent="0.2">
      <c r="A62" s="115"/>
      <c r="B62" s="119"/>
      <c r="C62" s="120" t="s">
        <v>57</v>
      </c>
      <c r="D62" s="115"/>
      <c r="E62" s="115"/>
      <c r="F62" s="115"/>
      <c r="G62" s="115"/>
      <c r="H62" s="115"/>
      <c r="I62" s="115"/>
      <c r="J62" s="116"/>
    </row>
    <row r="63" spans="1:13" s="117" customFormat="1" ht="16.5" customHeight="1" x14ac:dyDescent="0.2">
      <c r="A63" s="121"/>
      <c r="B63" s="121"/>
      <c r="C63" s="121"/>
      <c r="D63" s="121"/>
      <c r="E63" s="121"/>
      <c r="F63" s="121"/>
      <c r="G63" s="121"/>
      <c r="H63" s="121"/>
      <c r="I63" s="121"/>
      <c r="J63" s="121"/>
    </row>
    <row r="64" spans="1:13" s="117" customFormat="1" ht="16.5" customHeight="1" x14ac:dyDescent="0.2">
      <c r="A64" s="115"/>
      <c r="B64" s="122"/>
      <c r="C64" s="1513" t="s">
        <v>59</v>
      </c>
      <c r="D64" s="1513"/>
      <c r="E64" s="1513"/>
      <c r="F64" s="1513"/>
      <c r="G64" s="1513"/>
      <c r="H64" s="1513"/>
      <c r="I64" s="1513"/>
      <c r="J64" s="1513"/>
    </row>
    <row r="65" spans="1:10" s="117" customFormat="1" ht="16.5" customHeight="1" x14ac:dyDescent="0.2">
      <c r="A65" s="115"/>
      <c r="B65" s="122"/>
      <c r="C65" s="1513"/>
      <c r="D65" s="1513"/>
      <c r="E65" s="1513"/>
      <c r="F65" s="1513"/>
      <c r="G65" s="1513"/>
      <c r="H65" s="1513"/>
      <c r="I65" s="1513"/>
      <c r="J65" s="1513"/>
    </row>
    <row r="66" spans="1:10" s="117" customFormat="1" ht="16.5" customHeight="1" x14ac:dyDescent="0.2">
      <c r="A66" s="115"/>
      <c r="B66" s="122"/>
      <c r="C66" s="1005"/>
      <c r="D66" s="1005"/>
      <c r="E66" s="1005"/>
      <c r="F66" s="1005"/>
      <c r="G66" s="1005"/>
      <c r="H66" s="1005"/>
      <c r="I66" s="1005"/>
      <c r="J66" s="1005"/>
    </row>
    <row r="67" spans="1:10" s="117" customFormat="1" ht="16.5" customHeight="1" x14ac:dyDescent="0.2">
      <c r="A67" s="115"/>
      <c r="B67" s="115"/>
      <c r="C67" s="1514" t="s">
        <v>75</v>
      </c>
      <c r="D67" s="1514"/>
      <c r="E67" s="1514"/>
      <c r="F67" s="1514"/>
      <c r="G67" s="1514"/>
      <c r="H67" s="1514"/>
      <c r="I67" s="1514"/>
      <c r="J67" s="1514"/>
    </row>
    <row r="68" spans="1:10" s="117" customFormat="1" ht="16.5" customHeight="1" x14ac:dyDescent="0.2">
      <c r="A68" s="115"/>
      <c r="B68" s="115"/>
      <c r="C68" s="116"/>
      <c r="D68" s="116"/>
      <c r="E68" s="116"/>
      <c r="F68" s="116"/>
      <c r="G68" s="116"/>
      <c r="H68" s="116"/>
      <c r="I68" s="116"/>
      <c r="J68" s="116"/>
    </row>
    <row r="69" spans="1:10" s="117" customFormat="1" ht="16.5" customHeight="1" x14ac:dyDescent="0.2">
      <c r="A69" s="115"/>
      <c r="B69" s="115"/>
      <c r="C69" s="1513" t="s">
        <v>76</v>
      </c>
      <c r="D69" s="1513"/>
      <c r="E69" s="1513"/>
      <c r="F69" s="1513"/>
      <c r="G69" s="1513"/>
      <c r="H69" s="1513"/>
      <c r="I69" s="1513"/>
      <c r="J69" s="1513"/>
    </row>
    <row r="70" spans="1:10" s="117" customFormat="1" ht="16.5" customHeight="1" x14ac:dyDescent="0.2">
      <c r="A70" s="115"/>
      <c r="B70" s="115"/>
      <c r="C70" s="1513"/>
      <c r="D70" s="1513"/>
      <c r="E70" s="1513"/>
      <c r="F70" s="1513"/>
      <c r="G70" s="1513"/>
      <c r="H70" s="1513"/>
      <c r="I70" s="1513"/>
      <c r="J70" s="1513"/>
    </row>
    <row r="71" spans="1:10" s="117" customFormat="1" ht="16.5" customHeight="1" x14ac:dyDescent="0.2">
      <c r="A71" s="115"/>
      <c r="B71" s="115"/>
      <c r="C71" s="590"/>
      <c r="D71" s="590"/>
      <c r="E71" s="590"/>
      <c r="F71" s="590"/>
      <c r="G71" s="590"/>
      <c r="H71" s="590"/>
      <c r="I71" s="590"/>
      <c r="J71" s="590"/>
    </row>
    <row r="72" spans="1:10" s="117" customFormat="1" ht="16.5" customHeight="1" x14ac:dyDescent="0.2">
      <c r="A72" s="115"/>
      <c r="B72" s="115"/>
      <c r="C72" s="1514" t="s">
        <v>77</v>
      </c>
      <c r="D72" s="1514"/>
      <c r="E72" s="1514"/>
      <c r="F72" s="1514"/>
      <c r="G72" s="1514"/>
      <c r="H72" s="1514"/>
      <c r="I72" s="1514"/>
      <c r="J72" s="1514"/>
    </row>
    <row r="73" spans="1:10" s="117" customFormat="1" ht="16.5" customHeight="1" x14ac:dyDescent="0.2">
      <c r="A73" s="115"/>
      <c r="B73" s="115"/>
      <c r="C73" s="116"/>
      <c r="D73" s="116"/>
      <c r="E73" s="116"/>
      <c r="F73" s="116"/>
      <c r="G73" s="116"/>
      <c r="H73" s="116"/>
      <c r="I73" s="116"/>
      <c r="J73" s="116"/>
    </row>
    <row r="74" spans="1:10" s="117" customFormat="1" ht="16.5" customHeight="1" x14ac:dyDescent="0.2">
      <c r="A74" s="115"/>
      <c r="B74" s="117" t="s">
        <v>13</v>
      </c>
      <c r="C74" s="1514" t="s">
        <v>78</v>
      </c>
      <c r="D74" s="1514"/>
      <c r="E74" s="1514"/>
      <c r="F74" s="1514"/>
      <c r="G74" s="1514"/>
      <c r="H74" s="1514"/>
      <c r="I74" s="1514"/>
      <c r="J74" s="1514"/>
    </row>
    <row r="75" spans="1:10" s="117" customFormat="1" ht="16.5" customHeight="1" x14ac:dyDescent="0.2">
      <c r="A75" s="115"/>
      <c r="C75" s="116"/>
      <c r="D75" s="116"/>
      <c r="E75" s="116"/>
      <c r="F75" s="116"/>
      <c r="G75" s="116"/>
      <c r="H75" s="116"/>
      <c r="I75" s="116"/>
      <c r="J75" s="116"/>
    </row>
    <row r="76" spans="1:10" s="117" customFormat="1" ht="16.5" customHeight="1" x14ac:dyDescent="0.2">
      <c r="A76" s="115"/>
      <c r="B76" s="115"/>
      <c r="C76" s="1514" t="s">
        <v>79</v>
      </c>
      <c r="D76" s="1514"/>
      <c r="E76" s="1514"/>
      <c r="F76" s="1514"/>
      <c r="G76" s="1514"/>
      <c r="H76" s="1514"/>
      <c r="I76" s="1514"/>
      <c r="J76" s="1514"/>
    </row>
    <row r="77" spans="1:10" s="117" customFormat="1" ht="16.5" customHeight="1" x14ac:dyDescent="0.2">
      <c r="A77" s="115"/>
      <c r="B77" s="115"/>
      <c r="C77" s="116"/>
      <c r="D77" s="116"/>
      <c r="E77" s="116"/>
      <c r="F77" s="116"/>
      <c r="G77" s="116"/>
      <c r="H77" s="116"/>
      <c r="I77" s="116"/>
      <c r="J77" s="116"/>
    </row>
    <row r="78" spans="1:10" s="117" customFormat="1" ht="16.5" customHeight="1" x14ac:dyDescent="0.2">
      <c r="A78" s="115"/>
      <c r="B78" s="115"/>
      <c r="C78" s="1514" t="s">
        <v>80</v>
      </c>
      <c r="D78" s="1514"/>
      <c r="E78" s="1514"/>
      <c r="F78" s="1514"/>
      <c r="G78" s="1514"/>
      <c r="H78" s="1514"/>
      <c r="I78" s="1514"/>
      <c r="J78" s="1514"/>
    </row>
    <row r="79" spans="1:10" s="117" customFormat="1" ht="16.5" customHeight="1" x14ac:dyDescent="0.2">
      <c r="A79" s="115"/>
      <c r="B79" s="115"/>
      <c r="C79" s="116"/>
      <c r="D79" s="116"/>
      <c r="E79" s="116"/>
      <c r="F79" s="116"/>
      <c r="G79" s="116"/>
      <c r="H79" s="116"/>
      <c r="I79" s="116"/>
      <c r="J79" s="116"/>
    </row>
    <row r="80" spans="1:10" s="117" customFormat="1" ht="16.5" customHeight="1" x14ac:dyDescent="0.2">
      <c r="A80" s="115"/>
      <c r="B80" s="115"/>
      <c r="C80" s="1514" t="s">
        <v>81</v>
      </c>
      <c r="D80" s="1514"/>
      <c r="E80" s="1514"/>
      <c r="F80" s="1514"/>
      <c r="G80" s="1514"/>
      <c r="H80" s="1514"/>
      <c r="I80" s="1514"/>
      <c r="J80" s="1514"/>
    </row>
    <row r="81" spans="1:13" s="117" customFormat="1" ht="16.5" customHeight="1" x14ac:dyDescent="0.2">
      <c r="A81" s="115"/>
      <c r="B81" s="115"/>
      <c r="C81" s="116"/>
      <c r="D81" s="116"/>
      <c r="E81" s="116"/>
      <c r="F81" s="116"/>
      <c r="G81" s="116"/>
      <c r="H81" s="116"/>
      <c r="I81" s="116"/>
      <c r="J81" s="116"/>
    </row>
    <row r="82" spans="1:13" s="117" customFormat="1" ht="16.5" customHeight="1" x14ac:dyDescent="0.2">
      <c r="A82" s="115"/>
      <c r="B82" s="115"/>
      <c r="C82" s="1514" t="s">
        <v>82</v>
      </c>
      <c r="D82" s="1514"/>
      <c r="E82" s="1514"/>
      <c r="F82" s="1514"/>
      <c r="G82" s="1514"/>
      <c r="H82" s="1514"/>
      <c r="I82" s="123"/>
      <c r="J82" s="123"/>
    </row>
    <row r="83" spans="1:13" s="117" customFormat="1" ht="16.5" customHeight="1" x14ac:dyDescent="0.25">
      <c r="A83" s="115"/>
      <c r="B83" s="115"/>
      <c r="I83" s="123"/>
      <c r="J83" s="123"/>
      <c r="K83" s="1"/>
      <c r="L83" s="1"/>
      <c r="M83" s="1"/>
    </row>
    <row r="84" spans="1:13" s="117" customFormat="1" ht="16.5" customHeight="1" x14ac:dyDescent="0.25">
      <c r="A84" s="115"/>
      <c r="B84" s="115"/>
      <c r="C84" s="1514" t="s">
        <v>83</v>
      </c>
      <c r="D84" s="1514"/>
      <c r="E84" s="1514"/>
      <c r="F84" s="1514"/>
      <c r="G84" s="1514"/>
      <c r="H84" s="1514"/>
      <c r="I84" s="123"/>
      <c r="J84" s="123"/>
      <c r="K84" s="1"/>
      <c r="L84" s="1"/>
      <c r="M84" s="1"/>
    </row>
    <row r="85" spans="1:13" s="117" customFormat="1" ht="16.5" customHeight="1" x14ac:dyDescent="0.25">
      <c r="A85" s="115"/>
      <c r="B85" s="115"/>
      <c r="C85" s="123"/>
      <c r="D85" s="123"/>
      <c r="E85" s="123"/>
      <c r="F85" s="123"/>
      <c r="G85" s="123"/>
      <c r="H85" s="123"/>
      <c r="I85" s="123"/>
      <c r="J85" s="123"/>
      <c r="K85" s="1"/>
      <c r="L85" s="1"/>
      <c r="M85" s="1"/>
    </row>
    <row r="86" spans="1:13" s="117" customFormat="1" ht="16.5" customHeight="1" x14ac:dyDescent="0.25">
      <c r="A86" s="115"/>
      <c r="B86" s="115"/>
      <c r="C86" s="1514" t="s">
        <v>84</v>
      </c>
      <c r="D86" s="1514"/>
      <c r="E86" s="1514"/>
      <c r="F86" s="1514"/>
      <c r="G86" s="1514"/>
      <c r="H86" s="1514"/>
      <c r="I86" s="123"/>
      <c r="J86" s="123"/>
      <c r="K86" s="1"/>
      <c r="L86" s="1"/>
      <c r="M86" s="1"/>
    </row>
    <row r="87" spans="1:13" ht="12" customHeight="1" x14ac:dyDescent="0.25">
      <c r="A87" s="115"/>
      <c r="B87" s="115"/>
      <c r="C87" s="116"/>
      <c r="D87" s="116"/>
      <c r="E87" s="116"/>
      <c r="F87" s="116"/>
      <c r="G87" s="116"/>
      <c r="H87" s="116"/>
      <c r="I87" s="123"/>
      <c r="J87" s="123"/>
    </row>
    <row r="88" spans="1:13" ht="12" customHeight="1" x14ac:dyDescent="0.25"/>
    <row r="89" spans="1:13" ht="12" customHeight="1" x14ac:dyDescent="0.25"/>
    <row r="90" spans="1:13" ht="12" customHeight="1" x14ac:dyDescent="0.25"/>
    <row r="91" spans="1:13" ht="12" customHeight="1" x14ac:dyDescent="0.25">
      <c r="A91" s="1512"/>
      <c r="B91" s="1512"/>
      <c r="C91" s="1512"/>
      <c r="D91" s="1512"/>
      <c r="E91" s="1512"/>
      <c r="F91" s="1512"/>
      <c r="G91" s="1512"/>
      <c r="H91" s="1512"/>
      <c r="I91" s="1512"/>
      <c r="J91" s="1512"/>
    </row>
    <row r="92" spans="1:13" ht="12" customHeight="1" x14ac:dyDescent="0.25">
      <c r="A92" s="1512"/>
      <c r="B92" s="1512"/>
      <c r="C92" s="1512"/>
      <c r="D92" s="1512"/>
      <c r="E92" s="1512"/>
      <c r="F92" s="1512"/>
      <c r="G92" s="1512"/>
      <c r="H92" s="1512"/>
      <c r="I92" s="1512"/>
      <c r="J92" s="1512"/>
    </row>
    <row r="93" spans="1:13" ht="12" customHeight="1" x14ac:dyDescent="0.25">
      <c r="A93" s="1512"/>
      <c r="B93" s="1512"/>
      <c r="C93" s="1512"/>
      <c r="D93" s="1512"/>
      <c r="E93" s="1512"/>
      <c r="F93" s="1512"/>
      <c r="G93" s="1512"/>
      <c r="H93" s="1512"/>
      <c r="I93" s="1512"/>
      <c r="J93" s="1512"/>
    </row>
    <row r="94" spans="1:13" ht="12" customHeight="1" x14ac:dyDescent="0.25">
      <c r="A94" s="1512"/>
      <c r="B94" s="1512"/>
      <c r="C94" s="1512"/>
      <c r="D94" s="1512"/>
      <c r="E94" s="1512"/>
      <c r="F94" s="1512"/>
      <c r="G94" s="1512"/>
      <c r="H94" s="1512"/>
      <c r="I94" s="1512"/>
      <c r="J94" s="1512"/>
    </row>
    <row r="95" spans="1:13" ht="45" customHeight="1" x14ac:dyDescent="0.25">
      <c r="A95" s="1512"/>
      <c r="B95" s="1512"/>
      <c r="C95" s="1512"/>
      <c r="D95" s="1512"/>
      <c r="E95" s="1512"/>
      <c r="F95" s="1512"/>
      <c r="G95" s="1512"/>
      <c r="H95" s="1512"/>
      <c r="I95" s="1512"/>
      <c r="J95" s="1512"/>
    </row>
    <row r="96" spans="1:13" ht="20.100000000000001" customHeight="1" x14ac:dyDescent="0.25">
      <c r="A96" s="1512"/>
      <c r="B96" s="1512"/>
      <c r="C96" s="1512"/>
      <c r="D96" s="1512"/>
      <c r="E96" s="1512"/>
      <c r="F96" s="1512"/>
      <c r="G96" s="1512"/>
      <c r="H96" s="1512"/>
      <c r="I96" s="1512"/>
      <c r="J96" s="1512"/>
    </row>
    <row r="97" spans="1:12" ht="20.100000000000001" customHeight="1" x14ac:dyDescent="0.25">
      <c r="A97" s="1478" t="s">
        <v>85</v>
      </c>
      <c r="B97" s="1478"/>
      <c r="C97" s="1478"/>
      <c r="D97" s="1478"/>
      <c r="E97" s="1478"/>
      <c r="F97" s="85"/>
      <c r="G97" s="85"/>
      <c r="H97" s="85"/>
      <c r="I97" s="1512" t="e">
        <f>I6</f>
        <v>#N/A</v>
      </c>
      <c r="J97" s="1512"/>
    </row>
    <row r="98" spans="1:12" ht="12" customHeight="1" x14ac:dyDescent="0.25">
      <c r="A98" s="92"/>
      <c r="B98" s="92"/>
      <c r="C98" s="92"/>
      <c r="D98" s="92"/>
      <c r="E98" s="92"/>
      <c r="F98" s="85"/>
      <c r="G98" s="85"/>
      <c r="H98" s="85"/>
      <c r="I98" s="85"/>
      <c r="J98" s="88"/>
    </row>
    <row r="99" spans="1:12" ht="15" customHeight="1" x14ac:dyDescent="0.25">
      <c r="A99" s="1455" t="s">
        <v>357</v>
      </c>
      <c r="B99" s="1455"/>
      <c r="C99" s="1455"/>
      <c r="D99" s="1455"/>
      <c r="E99" s="1455"/>
      <c r="F99" s="1455"/>
      <c r="G99" s="1455"/>
      <c r="H99" s="1455"/>
      <c r="I99" s="1455"/>
      <c r="J99" s="1455"/>
    </row>
    <row r="100" spans="1:12" ht="12" customHeight="1" thickBot="1" x14ac:dyDescent="0.3">
      <c r="A100" s="85"/>
      <c r="B100" s="85"/>
      <c r="C100" s="85"/>
      <c r="D100" s="85"/>
      <c r="E100" s="85"/>
      <c r="F100" s="85"/>
      <c r="G100" s="85"/>
      <c r="H100" s="85"/>
      <c r="I100" s="85"/>
      <c r="J100" s="88"/>
    </row>
    <row r="101" spans="1:12" ht="16.5" customHeight="1" thickBot="1" x14ac:dyDescent="0.3">
      <c r="A101" s="85"/>
      <c r="B101" s="1502" t="s">
        <v>480</v>
      </c>
      <c r="C101" s="1503"/>
      <c r="D101" s="1499" t="s">
        <v>44</v>
      </c>
      <c r="E101" s="1500"/>
      <c r="F101" s="1500"/>
      <c r="G101" s="1499" t="s">
        <v>45</v>
      </c>
      <c r="H101" s="1500"/>
      <c r="I101" s="1501"/>
      <c r="J101" s="88"/>
      <c r="L101" s="663"/>
    </row>
    <row r="102" spans="1:12" ht="30" customHeight="1" thickBot="1" x14ac:dyDescent="0.3">
      <c r="B102" s="1504" t="e">
        <f>'RT03-F11'!R36</f>
        <v>#DIV/0!</v>
      </c>
      <c r="C102" s="1505"/>
      <c r="D102" s="1506" t="e">
        <f>'RT03-F11'!R37</f>
        <v>#DIV/0!</v>
      </c>
      <c r="E102" s="1507"/>
      <c r="F102" s="1508"/>
      <c r="G102" s="1509" t="e">
        <f>'RT03-F11'!R38</f>
        <v>#DIV/0!</v>
      </c>
      <c r="H102" s="1510"/>
      <c r="I102" s="1511"/>
      <c r="J102" s="88"/>
    </row>
    <row r="103" spans="1:12" ht="12" customHeight="1" x14ac:dyDescent="0.25">
      <c r="A103" s="85"/>
      <c r="B103" s="85"/>
      <c r="C103" s="91"/>
      <c r="D103" s="85"/>
      <c r="E103" s="85"/>
      <c r="F103" s="85"/>
      <c r="G103" s="85"/>
      <c r="H103" s="85"/>
      <c r="I103" s="85"/>
      <c r="J103" s="88"/>
    </row>
    <row r="104" spans="1:12" ht="20.100000000000001" customHeight="1" x14ac:dyDescent="0.25">
      <c r="A104" s="1478" t="s">
        <v>86</v>
      </c>
      <c r="B104" s="1478"/>
      <c r="C104" s="1478"/>
      <c r="D104" s="1478"/>
      <c r="E104" s="1478"/>
      <c r="F104" s="85"/>
      <c r="G104" s="85"/>
      <c r="H104" s="85"/>
      <c r="I104" s="85"/>
      <c r="J104" s="88"/>
    </row>
    <row r="105" spans="1:12" ht="12" customHeight="1" x14ac:dyDescent="0.25">
      <c r="A105" s="6"/>
      <c r="B105" s="85"/>
      <c r="C105" s="85"/>
      <c r="D105" s="85"/>
      <c r="E105" s="85"/>
      <c r="F105" s="85"/>
      <c r="G105" s="85"/>
      <c r="H105" s="85"/>
      <c r="I105" s="85"/>
      <c r="J105" s="88"/>
    </row>
    <row r="106" spans="1:12" ht="30" customHeight="1" x14ac:dyDescent="0.25">
      <c r="A106" s="1469" t="s">
        <v>508</v>
      </c>
      <c r="B106" s="1469"/>
      <c r="C106" s="1469"/>
      <c r="D106" s="1469"/>
      <c r="E106" s="1469"/>
      <c r="F106" s="1469"/>
      <c r="G106" s="1469"/>
      <c r="H106" s="1469"/>
      <c r="I106" s="1469"/>
      <c r="J106" s="663"/>
    </row>
    <row r="107" spans="1:12" ht="15" customHeight="1" x14ac:dyDescent="0.25"/>
    <row r="108" spans="1:12" s="1043" customFormat="1" ht="20.100000000000001" customHeight="1" x14ac:dyDescent="0.3">
      <c r="A108" s="1478" t="s">
        <v>87</v>
      </c>
      <c r="B108" s="1478"/>
      <c r="C108" s="1478"/>
      <c r="D108" s="1478"/>
      <c r="E108" s="1478"/>
      <c r="F108" s="1042"/>
      <c r="G108" s="1042"/>
      <c r="J108" s="1044"/>
    </row>
    <row r="109" spans="1:12" ht="12" customHeight="1" x14ac:dyDescent="0.25">
      <c r="A109" s="92"/>
      <c r="B109" s="92"/>
      <c r="C109" s="92"/>
      <c r="D109" s="92"/>
      <c r="E109" s="92"/>
      <c r="F109" s="85"/>
      <c r="G109" s="85"/>
      <c r="J109" s="88"/>
    </row>
    <row r="110" spans="1:12" ht="30" customHeight="1" x14ac:dyDescent="0.25">
      <c r="A110" s="1455" t="s">
        <v>60</v>
      </c>
      <c r="B110" s="1455"/>
      <c r="C110" s="1455"/>
      <c r="D110" s="1455"/>
      <c r="E110" s="1455"/>
      <c r="F110" s="1455"/>
      <c r="G110" s="1455"/>
      <c r="H110" s="1455"/>
      <c r="I110" s="1455"/>
      <c r="J110" s="1455"/>
    </row>
    <row r="111" spans="1:12" ht="20.100000000000001" customHeight="1" thickBot="1" x14ac:dyDescent="0.3">
      <c r="A111" s="90"/>
      <c r="B111" s="90"/>
      <c r="C111" s="90"/>
      <c r="D111" s="90"/>
      <c r="E111" s="90"/>
      <c r="F111" s="90"/>
      <c r="G111" s="90"/>
      <c r="H111" s="90"/>
      <c r="I111" s="90"/>
      <c r="J111" s="90"/>
    </row>
    <row r="112" spans="1:12" ht="24.95" customHeight="1" thickBot="1" x14ac:dyDescent="0.3">
      <c r="A112" s="1499" t="s">
        <v>88</v>
      </c>
      <c r="B112" s="1500"/>
      <c r="C112" s="1501"/>
      <c r="D112" s="1499" t="s">
        <v>55</v>
      </c>
      <c r="E112" s="1501"/>
      <c r="F112" s="7" t="s">
        <v>89</v>
      </c>
      <c r="G112" s="1499" t="s">
        <v>90</v>
      </c>
      <c r="H112" s="1500"/>
      <c r="I112" s="1499" t="s">
        <v>91</v>
      </c>
      <c r="J112" s="1501"/>
    </row>
    <row r="113" spans="1:13" ht="24.95" customHeight="1" thickBot="1" x14ac:dyDescent="0.3">
      <c r="A113" s="1494" t="s">
        <v>46</v>
      </c>
      <c r="B113" s="1495"/>
      <c r="C113" s="1496"/>
      <c r="D113" s="1497" t="e">
        <f>'RT03-F11'!D25</f>
        <v>#N/A</v>
      </c>
      <c r="E113" s="1485"/>
      <c r="F113" s="985" t="s">
        <v>486</v>
      </c>
      <c r="G113" s="1498" t="e">
        <f>'RT03-F11'!D27</f>
        <v>#N/A</v>
      </c>
      <c r="H113" s="1477"/>
      <c r="I113" s="1498" t="str">
        <f>DATOS!L31</f>
        <v>INM 2286</v>
      </c>
      <c r="J113" s="1477"/>
    </row>
    <row r="114" spans="1:13" ht="24.95" customHeight="1" thickBot="1" x14ac:dyDescent="0.3">
      <c r="A114" s="1488" t="s">
        <v>185</v>
      </c>
      <c r="B114" s="1489"/>
      <c r="C114" s="1490"/>
      <c r="D114" s="1475" t="str">
        <f>DATOS!D38</f>
        <v xml:space="preserve">Lufft </v>
      </c>
      <c r="E114" s="1477"/>
      <c r="F114" s="985" t="s">
        <v>187</v>
      </c>
      <c r="G114" s="1484" t="e">
        <f>'RT03-F11'!B8</f>
        <v>#N/A</v>
      </c>
      <c r="H114" s="1485"/>
      <c r="I114" s="1486" t="str">
        <f>DATOS!L42</f>
        <v>INM 2549</v>
      </c>
      <c r="J114" s="1487"/>
    </row>
    <row r="115" spans="1:13" ht="24.95" customHeight="1" thickBot="1" x14ac:dyDescent="0.3">
      <c r="A115" s="1481" t="s">
        <v>186</v>
      </c>
      <c r="B115" s="1482"/>
      <c r="C115" s="1483"/>
      <c r="D115" s="1475" t="str">
        <f>DATOS!D42</f>
        <v xml:space="preserve">Lufft </v>
      </c>
      <c r="E115" s="1477"/>
      <c r="F115" s="985" t="s">
        <v>187</v>
      </c>
      <c r="G115" s="1484" t="e">
        <f>'RT03-F11'!B12</f>
        <v>#N/A</v>
      </c>
      <c r="H115" s="1485"/>
      <c r="I115" s="1486" t="str">
        <f>DATOS!L38</f>
        <v>INM 2550</v>
      </c>
      <c r="J115" s="1487"/>
    </row>
    <row r="116" spans="1:13" ht="24.95" customHeight="1" thickBot="1" x14ac:dyDescent="0.3">
      <c r="A116" s="1488" t="s">
        <v>34</v>
      </c>
      <c r="B116" s="1489"/>
      <c r="C116" s="1490"/>
      <c r="D116" s="1491" t="str">
        <f>DATOS!D73</f>
        <v>Brand</v>
      </c>
      <c r="E116" s="1492"/>
      <c r="F116" s="986" t="s">
        <v>188</v>
      </c>
      <c r="G116" s="1493" t="e">
        <f>'RT03-F11'!B17</f>
        <v>#N/A</v>
      </c>
      <c r="H116" s="1492"/>
      <c r="I116" s="1491" t="s">
        <v>462</v>
      </c>
      <c r="J116" s="1492"/>
    </row>
    <row r="117" spans="1:13" ht="15" customHeight="1" thickBot="1" x14ac:dyDescent="0.3">
      <c r="A117" s="1475" t="s">
        <v>92</v>
      </c>
      <c r="B117" s="1476"/>
      <c r="C117" s="1476"/>
      <c r="D117" s="1476"/>
      <c r="E117" s="1476"/>
      <c r="F117" s="1476"/>
      <c r="G117" s="1476"/>
      <c r="H117" s="1477"/>
      <c r="I117" s="1475" t="s">
        <v>93</v>
      </c>
      <c r="J117" s="1477"/>
    </row>
    <row r="118" spans="1:13" ht="12" customHeight="1" x14ac:dyDescent="0.25">
      <c r="B118" s="84"/>
      <c r="C118" s="84"/>
      <c r="D118" s="87"/>
      <c r="E118" s="87"/>
      <c r="F118" s="91"/>
      <c r="G118" s="87"/>
      <c r="H118" s="87"/>
      <c r="I118" s="87"/>
      <c r="J118" s="87"/>
      <c r="K118" s="124"/>
      <c r="L118" s="124"/>
      <c r="M118" s="124"/>
    </row>
    <row r="119" spans="1:13" s="1043" customFormat="1" ht="20.100000000000001" customHeight="1" x14ac:dyDescent="0.3">
      <c r="A119" s="1478" t="s">
        <v>94</v>
      </c>
      <c r="B119" s="1478"/>
      <c r="C119" s="1478"/>
      <c r="D119" s="1478"/>
      <c r="E119" s="1478"/>
      <c r="F119" s="1024"/>
      <c r="G119" s="1024"/>
      <c r="H119" s="1024"/>
      <c r="I119" s="1024"/>
      <c r="J119" s="1044"/>
      <c r="K119" s="1045"/>
      <c r="L119" s="1045"/>
      <c r="M119" s="1045"/>
    </row>
    <row r="120" spans="1:13" s="1043" customFormat="1" ht="12" customHeight="1" x14ac:dyDescent="0.3">
      <c r="A120" s="1046"/>
      <c r="B120" s="1046"/>
      <c r="C120" s="1046"/>
      <c r="D120" s="1046"/>
      <c r="E120" s="1046"/>
      <c r="F120" s="1024"/>
      <c r="G120" s="1024"/>
      <c r="H120" s="1024"/>
      <c r="I120" s="1024"/>
      <c r="J120" s="1044"/>
      <c r="K120" s="1045"/>
      <c r="L120" s="1045"/>
      <c r="M120" s="1045"/>
    </row>
    <row r="121" spans="1:13" ht="15" customHeight="1" thickBot="1" x14ac:dyDescent="0.3">
      <c r="A121" s="1479" t="s">
        <v>513</v>
      </c>
      <c r="B121" s="1480"/>
      <c r="C121" s="1480"/>
      <c r="D121" s="1480"/>
      <c r="E121" s="1480"/>
      <c r="F121" s="1480"/>
      <c r="G121" s="1480"/>
      <c r="H121" s="1480"/>
      <c r="I121" s="1480"/>
      <c r="J121" s="88"/>
      <c r="K121" s="124"/>
      <c r="L121" s="124"/>
      <c r="M121" s="124"/>
    </row>
    <row r="122" spans="1:13" ht="30" customHeight="1" thickBot="1" x14ac:dyDescent="0.3">
      <c r="A122" s="615" t="s">
        <v>35</v>
      </c>
      <c r="B122" s="616"/>
      <c r="C122" s="615" t="s">
        <v>36</v>
      </c>
      <c r="D122" s="616"/>
      <c r="E122" s="615"/>
      <c r="F122" s="615" t="s">
        <v>66</v>
      </c>
      <c r="G122" s="616"/>
      <c r="H122" s="615" t="s">
        <v>358</v>
      </c>
      <c r="I122" s="617"/>
    </row>
    <row r="123" spans="1:13" s="124" customFormat="1" ht="20.100000000000001" customHeight="1" thickBot="1" x14ac:dyDescent="0.3">
      <c r="A123" s="618" t="e">
        <f>'RT03-F11'!$F$28</f>
        <v>#N/A</v>
      </c>
      <c r="B123" s="619"/>
      <c r="C123" s="1470">
        <f>'RT03-F11'!M29</f>
        <v>18927.055</v>
      </c>
      <c r="D123" s="1470"/>
      <c r="E123" s="987" t="s">
        <v>4</v>
      </c>
      <c r="F123" s="140" t="e">
        <f>'RT03-F11'!C120</f>
        <v>#N/A</v>
      </c>
      <c r="G123" s="987" t="s">
        <v>4</v>
      </c>
      <c r="H123" s="1047" t="e">
        <f>IF('RT03-F11'!F120&lt;=(DATOS!V22),"6,3","AJUSTAR")</f>
        <v>#N/A</v>
      </c>
      <c r="I123" s="987" t="s">
        <v>4</v>
      </c>
      <c r="J123" s="1"/>
      <c r="K123" s="1"/>
      <c r="L123" s="1"/>
      <c r="M123" s="1"/>
    </row>
    <row r="124" spans="1:13" s="124" customFormat="1" ht="20.100000000000001" customHeight="1" thickBot="1" x14ac:dyDescent="0.3">
      <c r="A124" s="618" t="e">
        <f>'RT03-F11'!$F$28</f>
        <v>#N/A</v>
      </c>
      <c r="B124" s="619"/>
      <c r="C124" s="1473">
        <f>'RT03-F11'!M27</f>
        <v>1155.0000427166315</v>
      </c>
      <c r="D124" s="1474"/>
      <c r="E124" s="988" t="s">
        <v>500</v>
      </c>
      <c r="F124" s="610" t="e">
        <f>'RT03-F11'!C121</f>
        <v>#N/A</v>
      </c>
      <c r="G124" s="988" t="s">
        <v>500</v>
      </c>
      <c r="H124" s="610" t="e">
        <f>'RT03-F11'!F121</f>
        <v>#N/A</v>
      </c>
      <c r="I124" s="988" t="s">
        <v>500</v>
      </c>
      <c r="K124" s="1"/>
      <c r="L124" s="1"/>
      <c r="M124" s="1"/>
    </row>
    <row r="125" spans="1:13" s="124" customFormat="1" ht="20.100000000000001" customHeight="1" thickBot="1" x14ac:dyDescent="0.3">
      <c r="A125" s="618" t="e">
        <f>'RT03-F11'!$F$28</f>
        <v>#N/A</v>
      </c>
      <c r="B125" s="1018"/>
      <c r="C125" s="1471">
        <f>'RT03-F11'!M26</f>
        <v>5</v>
      </c>
      <c r="D125" s="1472"/>
      <c r="E125" s="988" t="s">
        <v>10</v>
      </c>
      <c r="F125" s="620" t="e">
        <f>'RT03-F11'!C122</f>
        <v>#N/A</v>
      </c>
      <c r="G125" s="988" t="s">
        <v>10</v>
      </c>
      <c r="H125" s="596" t="e">
        <f>'RT03-F11'!F122</f>
        <v>#N/A</v>
      </c>
      <c r="I125" s="988" t="s">
        <v>10</v>
      </c>
      <c r="K125" s="1"/>
      <c r="L125" s="1"/>
      <c r="M125" s="1"/>
    </row>
    <row r="126" spans="1:13" ht="12" customHeight="1" x14ac:dyDescent="0.25">
      <c r="A126" s="1019"/>
      <c r="B126" s="1020"/>
      <c r="C126" s="1021"/>
      <c r="D126" s="1021"/>
      <c r="E126" s="1022"/>
      <c r="F126" s="1021"/>
      <c r="G126" s="1022"/>
      <c r="H126" s="1023"/>
      <c r="I126" s="1022"/>
      <c r="J126" s="124"/>
    </row>
    <row r="127" spans="1:13" ht="15" customHeight="1" thickBot="1" x14ac:dyDescent="0.3">
      <c r="A127" s="614" t="s">
        <v>482</v>
      </c>
    </row>
    <row r="128" spans="1:13" ht="30" customHeight="1" thickBot="1" x14ac:dyDescent="0.3">
      <c r="A128" s="615" t="s">
        <v>35</v>
      </c>
      <c r="B128" s="616"/>
      <c r="C128" s="615" t="s">
        <v>36</v>
      </c>
      <c r="D128" s="616"/>
      <c r="E128" s="615"/>
      <c r="F128" s="615" t="s">
        <v>66</v>
      </c>
      <c r="G128" s="616"/>
      <c r="H128" s="615" t="s">
        <v>359</v>
      </c>
      <c r="I128" s="617"/>
    </row>
    <row r="129" spans="1:10" ht="20.100000000000001" customHeight="1" thickBot="1" x14ac:dyDescent="0.3">
      <c r="A129" s="989"/>
      <c r="B129" s="990"/>
      <c r="C129" s="991">
        <f>C123</f>
        <v>18927.055</v>
      </c>
      <c r="D129" s="991"/>
      <c r="E129" s="992" t="s">
        <v>4</v>
      </c>
      <c r="F129" s="994" t="e">
        <f>'CALIBRACIÓN DESPUES DE AJUSTE'!C120</f>
        <v>#N/A</v>
      </c>
      <c r="G129" s="992" t="s">
        <v>4</v>
      </c>
      <c r="H129" s="995" t="e">
        <f>'CALIBRACIÓN DESPUES DE AJUSTE'!F120</f>
        <v>#N/A</v>
      </c>
      <c r="I129" s="992" t="s">
        <v>4</v>
      </c>
    </row>
    <row r="130" spans="1:10" ht="20.100000000000001" customHeight="1" thickBot="1" x14ac:dyDescent="0.3">
      <c r="A130" s="989"/>
      <c r="B130" s="990"/>
      <c r="C130" s="991">
        <f>C124</f>
        <v>1155.0000427166315</v>
      </c>
      <c r="D130" s="991"/>
      <c r="E130" s="992" t="s">
        <v>485</v>
      </c>
      <c r="F130" s="996" t="e">
        <f>'CALIBRACIÓN DESPUES DE AJUSTE'!C121</f>
        <v>#N/A</v>
      </c>
      <c r="G130" s="992" t="s">
        <v>485</v>
      </c>
      <c r="H130" s="995" t="e">
        <f>'CALIBRACIÓN DESPUES DE AJUSTE'!F121</f>
        <v>#N/A</v>
      </c>
      <c r="I130" s="992" t="s">
        <v>485</v>
      </c>
    </row>
    <row r="131" spans="1:10" ht="20.100000000000001" customHeight="1" thickBot="1" x14ac:dyDescent="0.3">
      <c r="A131" s="989"/>
      <c r="B131" s="990"/>
      <c r="C131" s="993">
        <f>C125</f>
        <v>5</v>
      </c>
      <c r="D131" s="991"/>
      <c r="E131" s="992" t="s">
        <v>10</v>
      </c>
      <c r="F131" s="997" t="e">
        <f>'CALIBRACIÓN DESPUES DE AJUSTE'!C122</f>
        <v>#N/A</v>
      </c>
      <c r="G131" s="992" t="s">
        <v>10</v>
      </c>
      <c r="H131" s="995" t="e">
        <f>'CALIBRACIÓN DESPUES DE AJUSTE'!F122</f>
        <v>#N/A</v>
      </c>
      <c r="I131" s="992" t="s">
        <v>10</v>
      </c>
    </row>
    <row r="132" spans="1:10" ht="18" customHeight="1" x14ac:dyDescent="0.25"/>
    <row r="133" spans="1:10" ht="26.25" customHeight="1" x14ac:dyDescent="0.25"/>
    <row r="134" spans="1:10" ht="65.099999999999994" customHeight="1" thickBot="1" x14ac:dyDescent="0.3">
      <c r="A134" s="4"/>
      <c r="B134" s="4"/>
      <c r="C134" s="4"/>
      <c r="D134" s="4"/>
      <c r="E134" s="4"/>
      <c r="F134" s="4"/>
      <c r="G134" s="4"/>
      <c r="H134" s="4"/>
      <c r="I134" s="4"/>
      <c r="J134" s="4"/>
    </row>
    <row r="135" spans="1:10" ht="18" customHeight="1" thickBot="1" x14ac:dyDescent="0.3">
      <c r="A135" s="1456" t="s">
        <v>190</v>
      </c>
      <c r="B135" s="1456"/>
      <c r="C135" s="1456"/>
      <c r="D135" s="1456"/>
      <c r="E135" s="1456"/>
      <c r="F135" s="606" t="e">
        <f>IF((F129)," SI"," F125")</f>
        <v>#N/A</v>
      </c>
      <c r="I135" s="1467" t="e">
        <f>I6</f>
        <v>#N/A</v>
      </c>
      <c r="J135" s="1467"/>
    </row>
    <row r="136" spans="1:10" ht="15" customHeight="1" thickBot="1" x14ac:dyDescent="0.3">
      <c r="A136" s="87"/>
      <c r="B136" s="87"/>
      <c r="C136" s="87"/>
      <c r="D136" s="87"/>
      <c r="E136" s="87"/>
      <c r="J136" s="87"/>
    </row>
    <row r="137" spans="1:10" ht="15" customHeight="1" thickBot="1" x14ac:dyDescent="0.3">
      <c r="A137" s="1456" t="s">
        <v>360</v>
      </c>
      <c r="B137" s="1456"/>
      <c r="C137" s="1456"/>
      <c r="D137" s="1456"/>
      <c r="E137" s="1456"/>
      <c r="F137" s="998" t="s">
        <v>501</v>
      </c>
      <c r="G137" s="90"/>
      <c r="H137" s="93"/>
      <c r="I137" s="90"/>
      <c r="J137" s="85"/>
    </row>
    <row r="138" spans="1:10" ht="15" customHeight="1" x14ac:dyDescent="0.25">
      <c r="A138" s="1004"/>
      <c r="B138" s="1004"/>
      <c r="C138" s="1004"/>
      <c r="D138" s="1004"/>
      <c r="E138" s="1004"/>
      <c r="F138" s="1039"/>
      <c r="G138" s="90"/>
      <c r="H138" s="1007"/>
      <c r="I138" s="90"/>
      <c r="J138" s="1000"/>
    </row>
    <row r="139" spans="1:10" ht="45" customHeight="1" x14ac:dyDescent="0.25">
      <c r="A139" s="1457" t="s">
        <v>361</v>
      </c>
      <c r="B139" s="1457"/>
      <c r="C139" s="1457"/>
      <c r="D139" s="1457"/>
      <c r="E139" s="1457"/>
      <c r="F139" s="1457"/>
      <c r="G139" s="1457"/>
      <c r="H139" s="1457"/>
      <c r="I139" s="1457"/>
      <c r="J139" s="1457"/>
    </row>
    <row r="140" spans="1:10" ht="15" customHeight="1" thickBot="1" x14ac:dyDescent="0.3">
      <c r="A140" s="1008"/>
      <c r="B140" s="1008"/>
      <c r="C140" s="1008"/>
      <c r="D140" s="1008"/>
      <c r="E140" s="1008"/>
      <c r="F140" s="1008"/>
      <c r="G140" s="1008"/>
      <c r="H140" s="1008"/>
      <c r="I140" s="1008"/>
      <c r="J140" s="1008"/>
    </row>
    <row r="141" spans="1:10" ht="16.5" thickBot="1" x14ac:dyDescent="0.3">
      <c r="A141" s="1458" t="s">
        <v>484</v>
      </c>
      <c r="B141" s="1458"/>
      <c r="C141" s="1458"/>
      <c r="D141" s="1458"/>
      <c r="E141" s="1458"/>
      <c r="F141" s="1458"/>
      <c r="H141" s="684" t="e">
        <f>'VERIFICACIÓN DE LA ESCALA'!C57</f>
        <v>#N/A</v>
      </c>
      <c r="I141" s="693" t="s">
        <v>67</v>
      </c>
      <c r="J141" s="1037" t="e">
        <f>'VERIFICACIÓN DE LA ESCALA'!F57</f>
        <v>#N/A</v>
      </c>
    </row>
    <row r="142" spans="1:10" ht="15" customHeight="1" thickBot="1" x14ac:dyDescent="0.3">
      <c r="A142" s="1000"/>
      <c r="B142" s="1000"/>
      <c r="C142" s="1000"/>
      <c r="D142" s="1000"/>
      <c r="E142" s="1000"/>
      <c r="F142" s="1000"/>
      <c r="H142" s="651" t="e">
        <f>'VERIFICACIÓN DE LA ESCALA'!C58</f>
        <v>#N/A</v>
      </c>
      <c r="I142" s="694" t="s">
        <v>483</v>
      </c>
      <c r="J142" s="1038" t="e">
        <f>'VERIFICACIÓN DE LA ESCALA'!F58</f>
        <v>#N/A</v>
      </c>
    </row>
    <row r="143" spans="1:10" ht="15" customHeight="1" x14ac:dyDescent="0.25">
      <c r="A143" s="1000"/>
      <c r="B143" s="1000"/>
      <c r="C143" s="1000"/>
      <c r="D143" s="1000"/>
      <c r="E143" s="1000"/>
      <c r="F143" s="1000"/>
      <c r="H143" s="1040"/>
      <c r="I143" s="1041"/>
      <c r="J143" s="1040"/>
    </row>
    <row r="144" spans="1:10" ht="12" customHeight="1" x14ac:dyDescent="0.25">
      <c r="A144" s="1461" t="s">
        <v>189</v>
      </c>
      <c r="B144" s="1461"/>
      <c r="C144" s="1461"/>
      <c r="D144" s="1461"/>
      <c r="E144" s="1461"/>
      <c r="F144" s="1461"/>
      <c r="G144" s="1017"/>
    </row>
    <row r="145" spans="1:13" ht="15" customHeight="1" x14ac:dyDescent="0.25">
      <c r="A145" s="84"/>
      <c r="B145" s="84"/>
      <c r="C145" s="84"/>
      <c r="D145" s="85"/>
      <c r="E145" s="85"/>
      <c r="F145" s="85"/>
      <c r="G145" s="85"/>
      <c r="J145" s="88"/>
    </row>
    <row r="146" spans="1:13" ht="15" customHeight="1" x14ac:dyDescent="0.25">
      <c r="A146" s="1455" t="s">
        <v>507</v>
      </c>
      <c r="B146" s="1455"/>
      <c r="C146" s="1455"/>
      <c r="D146" s="1455"/>
      <c r="E146" s="1455"/>
      <c r="F146" s="1455"/>
      <c r="G146" s="1455"/>
      <c r="H146" s="1455"/>
      <c r="I146" s="1455"/>
      <c r="J146" s="1455"/>
    </row>
    <row r="147" spans="1:13" ht="9.9499999999999993" customHeight="1" x14ac:dyDescent="0.25">
      <c r="A147" s="1006"/>
      <c r="B147" s="1006"/>
      <c r="C147" s="1006"/>
      <c r="D147" s="1006"/>
      <c r="E147" s="1006"/>
      <c r="F147" s="1006"/>
      <c r="G147" s="1006"/>
      <c r="H147" s="1006"/>
      <c r="I147" s="1006"/>
      <c r="J147" s="1006"/>
    </row>
    <row r="148" spans="1:13" ht="15" customHeight="1" x14ac:dyDescent="0.25">
      <c r="A148" s="1459" t="s">
        <v>506</v>
      </c>
      <c r="B148" s="1459"/>
      <c r="C148" s="1459"/>
      <c r="D148" s="1459"/>
      <c r="E148" s="1459"/>
      <c r="F148" s="1459"/>
      <c r="G148" s="1459"/>
      <c r="H148" s="1459"/>
      <c r="I148" s="1460">
        <f>'VERIFICACIÓN DE LA ESCALA'!I55</f>
        <v>0</v>
      </c>
      <c r="J148" s="1460"/>
    </row>
    <row r="149" spans="1:13" ht="9.9499999999999993" customHeight="1" x14ac:dyDescent="0.25">
      <c r="A149" s="1002"/>
      <c r="B149" s="1002"/>
      <c r="C149" s="1002"/>
      <c r="D149" s="1002"/>
      <c r="E149" s="1002"/>
      <c r="F149" s="1002"/>
      <c r="G149" s="1002"/>
      <c r="H149" s="1002"/>
      <c r="I149" s="1007"/>
      <c r="J149" s="1007"/>
    </row>
    <row r="150" spans="1:13" ht="30" customHeight="1" x14ac:dyDescent="0.25">
      <c r="A150" s="1455" t="s">
        <v>47</v>
      </c>
      <c r="B150" s="1455"/>
      <c r="C150" s="1455"/>
      <c r="D150" s="1455"/>
      <c r="E150" s="1455"/>
      <c r="F150" s="1455"/>
      <c r="G150" s="1455"/>
      <c r="H150" s="1455"/>
      <c r="I150" s="1455"/>
      <c r="J150" s="1455"/>
    </row>
    <row r="151" spans="1:13" ht="9.9499999999999993" customHeight="1" x14ac:dyDescent="0.25">
      <c r="A151" s="1006"/>
      <c r="B151" s="1006"/>
      <c r="C151" s="1006"/>
      <c r="D151" s="1006"/>
      <c r="E151" s="1006"/>
      <c r="F151" s="1006"/>
      <c r="G151" s="1006"/>
      <c r="H151" s="1006"/>
      <c r="I151" s="1006"/>
      <c r="J151" s="1006"/>
    </row>
    <row r="152" spans="1:13" ht="15" customHeight="1" x14ac:dyDescent="0.25">
      <c r="A152" s="1455" t="s">
        <v>62</v>
      </c>
      <c r="B152" s="1455"/>
      <c r="C152" s="1455"/>
      <c r="D152" s="1455"/>
      <c r="E152" s="1455"/>
      <c r="F152" s="1455"/>
      <c r="G152" s="1455"/>
      <c r="H152" s="1455"/>
      <c r="I152" s="1455"/>
      <c r="J152" s="1455"/>
    </row>
    <row r="153" spans="1:13" ht="9.9499999999999993" customHeight="1" x14ac:dyDescent="0.25">
      <c r="A153" s="1006"/>
      <c r="B153" s="1006"/>
      <c r="C153" s="1006"/>
      <c r="D153" s="1006"/>
      <c r="E153" s="1006"/>
      <c r="F153" s="1006"/>
      <c r="G153" s="1006"/>
      <c r="H153" s="1006"/>
      <c r="I153" s="1006"/>
      <c r="J153" s="1006"/>
    </row>
    <row r="154" spans="1:13" ht="50.1" customHeight="1" x14ac:dyDescent="0.25">
      <c r="A154" s="1455" t="s">
        <v>48</v>
      </c>
      <c r="B154" s="1455"/>
      <c r="C154" s="1455"/>
      <c r="D154" s="1455"/>
      <c r="E154" s="1455"/>
      <c r="F154" s="1455"/>
      <c r="G154" s="1455"/>
      <c r="H154" s="1455"/>
      <c r="I154" s="1455"/>
      <c r="J154" s="1455"/>
    </row>
    <row r="155" spans="1:13" ht="9.9499999999999993" customHeight="1" x14ac:dyDescent="0.25">
      <c r="A155" s="1006"/>
      <c r="B155" s="1006"/>
      <c r="C155" s="1006"/>
      <c r="D155" s="1006"/>
      <c r="E155" s="1006"/>
      <c r="F155" s="1006"/>
      <c r="G155" s="1006"/>
      <c r="H155" s="1006"/>
      <c r="I155" s="1006"/>
      <c r="J155" s="1006"/>
    </row>
    <row r="156" spans="1:13" ht="15" customHeight="1" x14ac:dyDescent="0.25">
      <c r="A156" s="1455" t="s">
        <v>95</v>
      </c>
      <c r="B156" s="1455"/>
      <c r="C156" s="1455"/>
      <c r="D156" s="1455"/>
      <c r="E156" s="1455"/>
      <c r="F156" s="1455"/>
      <c r="G156" s="1455"/>
      <c r="H156" s="1455"/>
      <c r="I156" s="1455"/>
      <c r="J156" s="1455"/>
      <c r="K156" s="1002"/>
      <c r="L156" s="1002"/>
      <c r="M156" s="1002"/>
    </row>
    <row r="157" spans="1:13" ht="9.9499999999999993" customHeight="1" x14ac:dyDescent="0.25">
      <c r="A157" s="1006"/>
      <c r="B157" s="1006"/>
      <c r="C157" s="1006"/>
      <c r="D157" s="1006"/>
      <c r="E157" s="1006"/>
      <c r="F157" s="1006"/>
      <c r="G157" s="1006"/>
      <c r="H157" s="1006"/>
      <c r="I157" s="1006"/>
      <c r="J157" s="1006"/>
      <c r="K157" s="1002"/>
      <c r="L157" s="1002"/>
      <c r="M157" s="1002"/>
    </row>
    <row r="158" spans="1:13" ht="15" customHeight="1" x14ac:dyDescent="0.25">
      <c r="A158" s="1455" t="s">
        <v>61</v>
      </c>
      <c r="B158" s="1455"/>
      <c r="C158" s="1455"/>
      <c r="D158" s="1455"/>
      <c r="E158" s="1455"/>
      <c r="F158" s="1455"/>
      <c r="G158" s="1455"/>
      <c r="H158" s="1455"/>
      <c r="I158" s="1455"/>
      <c r="J158" s="1455"/>
      <c r="K158" s="1003"/>
      <c r="L158" s="113"/>
      <c r="M158" s="113"/>
    </row>
    <row r="159" spans="1:13" ht="9.9499999999999993" customHeight="1" x14ac:dyDescent="0.25">
      <c r="A159" s="1006"/>
      <c r="B159" s="1006"/>
      <c r="C159" s="1006"/>
      <c r="D159" s="1006"/>
      <c r="E159" s="1006"/>
      <c r="F159" s="1006"/>
      <c r="G159" s="1006"/>
      <c r="H159" s="1006"/>
      <c r="I159" s="1006"/>
      <c r="J159" s="1006"/>
      <c r="K159" s="1003"/>
      <c r="L159" s="113"/>
      <c r="M159" s="113"/>
    </row>
    <row r="160" spans="1:13" ht="20.100000000000001" customHeight="1" x14ac:dyDescent="0.25">
      <c r="A160" s="1455" t="s">
        <v>96</v>
      </c>
      <c r="B160" s="1455"/>
      <c r="C160" s="1455"/>
      <c r="D160" s="1455"/>
      <c r="E160" s="1455"/>
      <c r="F160" s="1455"/>
      <c r="G160" s="1455"/>
      <c r="H160" s="1455"/>
      <c r="I160" s="1455"/>
      <c r="J160" s="1455"/>
      <c r="K160" s="591"/>
      <c r="L160" s="113"/>
      <c r="M160" s="113"/>
    </row>
    <row r="161" spans="1:13" ht="9.9499999999999993" customHeight="1" x14ac:dyDescent="0.25">
      <c r="A161" s="1006"/>
      <c r="B161" s="1006"/>
      <c r="C161" s="1006"/>
      <c r="D161" s="1006"/>
      <c r="E161" s="1006"/>
      <c r="F161" s="1006"/>
      <c r="G161" s="1006"/>
      <c r="H161" s="1006"/>
      <c r="I161" s="1006"/>
      <c r="J161" s="1006"/>
      <c r="K161" s="1003"/>
      <c r="L161" s="113"/>
      <c r="M161" s="113"/>
    </row>
    <row r="162" spans="1:13" ht="15" customHeight="1" x14ac:dyDescent="0.25">
      <c r="A162" s="1455" t="s">
        <v>481</v>
      </c>
      <c r="B162" s="1455"/>
      <c r="C162" s="1455"/>
      <c r="D162" s="1455"/>
      <c r="E162" s="1455"/>
      <c r="F162" s="1455"/>
      <c r="G162" s="1455"/>
      <c r="H162" s="1455"/>
      <c r="I162" s="1455"/>
      <c r="J162" s="1455"/>
      <c r="K162" s="589"/>
      <c r="L162" s="589"/>
      <c r="M162" s="589"/>
    </row>
    <row r="163" spans="1:13" ht="9.9499999999999993" customHeight="1" x14ac:dyDescent="0.25">
      <c r="A163" s="8"/>
      <c r="B163" s="8"/>
      <c r="C163" s="8"/>
      <c r="D163" s="8"/>
      <c r="E163" s="8"/>
      <c r="F163" s="8"/>
      <c r="G163" s="8"/>
      <c r="H163" s="8"/>
      <c r="I163" s="8"/>
      <c r="J163" s="8"/>
    </row>
    <row r="164" spans="1:13" ht="30" customHeight="1" x14ac:dyDescent="0.25">
      <c r="A164" s="1469" t="s">
        <v>514</v>
      </c>
      <c r="B164" s="1469"/>
      <c r="C164" s="1469"/>
      <c r="D164" s="1469"/>
      <c r="E164" s="1469"/>
      <c r="F164" s="1469"/>
      <c r="G164" s="1469"/>
      <c r="H164" s="1469"/>
      <c r="I164" s="1469"/>
      <c r="J164" s="1469"/>
    </row>
    <row r="165" spans="1:13" ht="9.9499999999999993" customHeight="1" x14ac:dyDescent="0.25">
      <c r="A165" s="591"/>
      <c r="B165" s="591"/>
      <c r="C165" s="591"/>
      <c r="D165" s="591"/>
      <c r="E165" s="591"/>
      <c r="F165" s="591"/>
      <c r="G165" s="591"/>
      <c r="H165" s="591"/>
      <c r="I165" s="591"/>
      <c r="J165" s="591"/>
    </row>
    <row r="166" spans="1:13" ht="15" customHeight="1" x14ac:dyDescent="0.25">
      <c r="A166" s="1469" t="s">
        <v>477</v>
      </c>
      <c r="B166" s="1469"/>
      <c r="C166" s="1469"/>
      <c r="D166" s="1469"/>
      <c r="E166" s="1469"/>
      <c r="F166" s="1469"/>
      <c r="G166" s="1469"/>
      <c r="H166" s="1469"/>
      <c r="I166" s="591"/>
      <c r="J166" s="591"/>
    </row>
    <row r="167" spans="1:13" ht="15" customHeight="1" x14ac:dyDescent="0.3">
      <c r="A167" s="1465"/>
      <c r="B167" s="1465"/>
      <c r="C167" s="1465"/>
      <c r="D167" s="1465"/>
      <c r="E167" s="1465"/>
      <c r="F167" s="1465"/>
      <c r="G167" s="1466"/>
    </row>
    <row r="168" spans="1:13" ht="15" customHeight="1" x14ac:dyDescent="0.25"/>
    <row r="169" spans="1:13" ht="15" customHeight="1" x14ac:dyDescent="0.25">
      <c r="A169" s="1464" t="s">
        <v>37</v>
      </c>
      <c r="B169" s="1464"/>
      <c r="C169" s="1464"/>
      <c r="D169" s="1464"/>
    </row>
    <row r="170" spans="1:13" ht="15" customHeight="1" x14ac:dyDescent="0.25"/>
    <row r="171" spans="1:13" ht="15" customHeight="1" x14ac:dyDescent="0.25"/>
    <row r="172" spans="1:13" ht="15" customHeight="1" x14ac:dyDescent="0.25">
      <c r="A172" s="3"/>
      <c r="B172" s="4" t="s">
        <v>38</v>
      </c>
      <c r="C172" s="4"/>
      <c r="D172" s="4"/>
      <c r="E172" s="4"/>
      <c r="G172" s="1467" t="s">
        <v>38</v>
      </c>
      <c r="H172" s="1467"/>
      <c r="I172" s="1467"/>
    </row>
    <row r="173" spans="1:13" ht="30" customHeight="1" x14ac:dyDescent="0.25">
      <c r="B173" s="1467" t="s">
        <v>39</v>
      </c>
      <c r="C173" s="1467"/>
      <c r="D173" s="1467"/>
      <c r="E173" s="1467"/>
      <c r="F173" s="599"/>
      <c r="G173" s="1467" t="s">
        <v>40</v>
      </c>
      <c r="H173" s="1467"/>
      <c r="I173" s="1467"/>
      <c r="J173" s="599"/>
    </row>
    <row r="174" spans="1:13" x14ac:dyDescent="0.25">
      <c r="B174" s="1468" t="e">
        <f>VLOOKUP(F173,DATOS!Q8:T12,4,FALSE)</f>
        <v>#N/A</v>
      </c>
      <c r="C174" s="1468"/>
      <c r="D174" s="1468"/>
      <c r="E174" s="1468"/>
      <c r="F174" s="114"/>
      <c r="G174" s="1467" t="s">
        <v>362</v>
      </c>
      <c r="H174" s="1467"/>
      <c r="I174" s="1467"/>
      <c r="J174" s="4"/>
    </row>
    <row r="175" spans="1:13" x14ac:dyDescent="0.25">
      <c r="B175" s="1464" t="e">
        <f>VLOOKUP(F173,DATOS!Q8:T12,2,FALSE)</f>
        <v>#N/A</v>
      </c>
      <c r="C175" s="1464"/>
      <c r="D175" s="1464"/>
      <c r="E175" s="1464"/>
      <c r="F175" s="3"/>
      <c r="G175" s="1464" t="e">
        <f>VLOOKUP(J173,DATOS!Q8:T12,2,FALSE)</f>
        <v>#N/A</v>
      </c>
      <c r="H175" s="1464"/>
      <c r="I175" s="1464"/>
      <c r="J175" s="3"/>
    </row>
    <row r="177" spans="2:9" x14ac:dyDescent="0.25">
      <c r="B177" s="1462" t="s">
        <v>41</v>
      </c>
      <c r="C177" s="1462"/>
      <c r="D177" s="1462"/>
      <c r="E177" s="1463"/>
      <c r="F177" s="1463"/>
    </row>
    <row r="178" spans="2:9" x14ac:dyDescent="0.25">
      <c r="B178" s="1460" t="s">
        <v>363</v>
      </c>
      <c r="C178" s="1460"/>
      <c r="D178" s="1460"/>
      <c r="E178" s="1460"/>
      <c r="F178" s="1460"/>
      <c r="G178" s="1460"/>
      <c r="H178" s="1460"/>
      <c r="I178" s="1460"/>
    </row>
  </sheetData>
  <mergeCells count="133">
    <mergeCell ref="A33:I33"/>
    <mergeCell ref="A35:J35"/>
    <mergeCell ref="A37:C37"/>
    <mergeCell ref="E37:G37"/>
    <mergeCell ref="E41:G41"/>
    <mergeCell ref="A42:C42"/>
    <mergeCell ref="A43:D43"/>
    <mergeCell ref="E43:G43"/>
    <mergeCell ref="A44:C44"/>
    <mergeCell ref="E44:I44"/>
    <mergeCell ref="A38:D38"/>
    <mergeCell ref="E38:G38"/>
    <mergeCell ref="A39:C39"/>
    <mergeCell ref="E39:G39"/>
    <mergeCell ref="A40:D40"/>
    <mergeCell ref="E40:H40"/>
    <mergeCell ref="A6:D6"/>
    <mergeCell ref="A26:J27"/>
    <mergeCell ref="A28:J28"/>
    <mergeCell ref="A29:J29"/>
    <mergeCell ref="A21:E21"/>
    <mergeCell ref="A31:G31"/>
    <mergeCell ref="D12:E12"/>
    <mergeCell ref="F12:G12"/>
    <mergeCell ref="H12:J12"/>
    <mergeCell ref="A18:C18"/>
    <mergeCell ref="D18:G18"/>
    <mergeCell ref="A20:K20"/>
    <mergeCell ref="A14:F14"/>
    <mergeCell ref="A46:H46"/>
    <mergeCell ref="A60:B60"/>
    <mergeCell ref="C64:J65"/>
    <mergeCell ref="C67:J67"/>
    <mergeCell ref="A41:C41"/>
    <mergeCell ref="A48:J52"/>
    <mergeCell ref="A1:K5"/>
    <mergeCell ref="A8:B8"/>
    <mergeCell ref="A9:B9"/>
    <mergeCell ref="D9:F9"/>
    <mergeCell ref="D8:F8"/>
    <mergeCell ref="A23:D23"/>
    <mergeCell ref="E23:F23"/>
    <mergeCell ref="A13:B13"/>
    <mergeCell ref="D13:F13"/>
    <mergeCell ref="A16:C16"/>
    <mergeCell ref="D16:H16"/>
    <mergeCell ref="A17:C17"/>
    <mergeCell ref="D17:G17"/>
    <mergeCell ref="A10:B10"/>
    <mergeCell ref="D10:G10"/>
    <mergeCell ref="A12:C12"/>
    <mergeCell ref="G23:I23"/>
    <mergeCell ref="K23:M23"/>
    <mergeCell ref="A91:J96"/>
    <mergeCell ref="A97:E97"/>
    <mergeCell ref="I97:J97"/>
    <mergeCell ref="C69:J70"/>
    <mergeCell ref="C72:J72"/>
    <mergeCell ref="C74:J74"/>
    <mergeCell ref="C76:J76"/>
    <mergeCell ref="C78:J78"/>
    <mergeCell ref="C80:J80"/>
    <mergeCell ref="C82:H82"/>
    <mergeCell ref="C84:H84"/>
    <mergeCell ref="C86:H86"/>
    <mergeCell ref="A104:E104"/>
    <mergeCell ref="A108:E108"/>
    <mergeCell ref="A110:J110"/>
    <mergeCell ref="A112:C112"/>
    <mergeCell ref="D112:E112"/>
    <mergeCell ref="G112:H112"/>
    <mergeCell ref="I112:J112"/>
    <mergeCell ref="A106:I106"/>
    <mergeCell ref="A99:J99"/>
    <mergeCell ref="B101:C101"/>
    <mergeCell ref="D101:F101"/>
    <mergeCell ref="G101:I101"/>
    <mergeCell ref="B102:C102"/>
    <mergeCell ref="D102:F102"/>
    <mergeCell ref="G102:I102"/>
    <mergeCell ref="A115:C115"/>
    <mergeCell ref="D115:E115"/>
    <mergeCell ref="G115:H115"/>
    <mergeCell ref="I115:J115"/>
    <mergeCell ref="A116:C116"/>
    <mergeCell ref="D116:E116"/>
    <mergeCell ref="G116:H116"/>
    <mergeCell ref="I116:J116"/>
    <mergeCell ref="A113:C113"/>
    <mergeCell ref="D113:E113"/>
    <mergeCell ref="G113:H113"/>
    <mergeCell ref="I113:J113"/>
    <mergeCell ref="A114:C114"/>
    <mergeCell ref="D114:E114"/>
    <mergeCell ref="G114:H114"/>
    <mergeCell ref="I114:J114"/>
    <mergeCell ref="A135:E135"/>
    <mergeCell ref="I135:J135"/>
    <mergeCell ref="C123:D123"/>
    <mergeCell ref="C125:D125"/>
    <mergeCell ref="C124:D124"/>
    <mergeCell ref="A117:H117"/>
    <mergeCell ref="I117:J117"/>
    <mergeCell ref="A119:E119"/>
    <mergeCell ref="A121:I121"/>
    <mergeCell ref="B177:D177"/>
    <mergeCell ref="E177:F177"/>
    <mergeCell ref="B178:I178"/>
    <mergeCell ref="B175:E175"/>
    <mergeCell ref="G175:I175"/>
    <mergeCell ref="A162:J162"/>
    <mergeCell ref="A167:G167"/>
    <mergeCell ref="A169:D169"/>
    <mergeCell ref="G172:I172"/>
    <mergeCell ref="B173:E173"/>
    <mergeCell ref="G173:I173"/>
    <mergeCell ref="G174:I174"/>
    <mergeCell ref="B174:E174"/>
    <mergeCell ref="A164:J164"/>
    <mergeCell ref="A166:H166"/>
    <mergeCell ref="A150:J150"/>
    <mergeCell ref="A152:J152"/>
    <mergeCell ref="A154:J154"/>
    <mergeCell ref="A156:J156"/>
    <mergeCell ref="A158:J158"/>
    <mergeCell ref="A160:J160"/>
    <mergeCell ref="A137:E137"/>
    <mergeCell ref="A139:J139"/>
    <mergeCell ref="A141:F141"/>
    <mergeCell ref="A146:J146"/>
    <mergeCell ref="A148:H148"/>
    <mergeCell ref="I148:J148"/>
    <mergeCell ref="A144:F144"/>
  </mergeCells>
  <pageMargins left="0.7" right="0.7" top="0.75" bottom="0.75" header="0.3" footer="0.3"/>
  <pageSetup scale="86" orientation="portrait" horizontalDpi="4294967293" r:id="rId1"/>
  <rowBreaks count="2" manualBreakCount="2">
    <brk id="94" max="16383" man="1"/>
    <brk id="133" max="16383" man="1"/>
  </rowBreaks>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3D4A6520-9655-4425-85F5-EDE05C527B4C}">
            <xm:f>NOT(ISERROR(SEARCH($F$129,F135)))</xm:f>
            <xm:f>$F$129</xm:f>
            <x14:dxf>
              <font>
                <b/>
                <i val="0"/>
              </font>
            </x14:dxf>
          </x14:cfRule>
          <x14:cfRule type="containsText" priority="12" stopIfTrue="1" operator="containsText" id="{10145571-340A-42E6-A73D-51EBE00510D1}">
            <xm:f>NOT(ISERROR(SEARCH($F$129,F135)))</xm:f>
            <xm:f>$F$129</xm:f>
            <x14:dxf>
              <font>
                <b/>
                <i val="0"/>
                <color auto="1"/>
              </font>
              <fill>
                <patternFill>
                  <bgColor rgb="FFFFC7CE"/>
                </patternFill>
              </fill>
            </x14:dxf>
          </x14:cfRule>
          <xm:sqref>F135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DATOS!$Q$8:$Q$10</xm:f>
          </x14:formula1>
          <xm:sqref>F173</xm:sqref>
        </x14:dataValidation>
        <x14:dataValidation type="list" allowBlank="1" showInputMessage="1" showErrorMessage="1">
          <x14:formula1>
            <xm:f>DATOS!$Q$8:$Q$12</xm:f>
          </x14:formula1>
          <xm:sqref>J173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DATOS</vt:lpstr>
      <vt:lpstr>RT03-F11</vt:lpstr>
      <vt:lpstr>CALIBRACIÓN DESPUES DE AJUSTE</vt:lpstr>
      <vt:lpstr>VERIFICACIÓN DE LA ESCALA</vt:lpstr>
      <vt:lpstr>RT03-F14</vt:lpstr>
      <vt:lpstr>'CALIBRACIÓN DESPUES DE AJUSTE'!Print_Area</vt:lpstr>
      <vt:lpstr>DATOS!Print_Area</vt:lpstr>
      <vt:lpstr>'RT03-F11'!Print_Area</vt:lpstr>
      <vt:lpstr>'RT03-F14'!Print_Area</vt:lpstr>
      <vt:lpstr>'VERIFICACIÓN DE LA ESCALA'!Print_Area</vt:lpstr>
      <vt:lpstr>'CALIBRACIÓN DESPUES DE AJUSTE'!Print_Titles</vt:lpstr>
      <vt:lpstr>DATOS!Print_Titles</vt:lpstr>
      <vt:lpstr>'RT03-F11'!Print_Titles</vt:lpstr>
      <vt:lpstr>'VERIFICACIÓN DE LA ESCALA'!Print_Titles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Jose Vargas</dc:creator>
  <cp:lastModifiedBy>Maria del Carmen Diaz Fonseca</cp:lastModifiedBy>
  <cp:lastPrinted>2018-05-21T15:18:51Z</cp:lastPrinted>
  <dcterms:created xsi:type="dcterms:W3CDTF">2015-11-06T23:47:29Z</dcterms:created>
  <dcterms:modified xsi:type="dcterms:W3CDTF">2018-05-23T21:38:25Z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